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5" yWindow="45" windowWidth="14400" windowHeight="12795" tabRatio="415"/>
  </bookViews>
  <sheets>
    <sheet name="TFP" sheetId="1" r:id="rId1"/>
    <sheet name="Starting Values" sheetId="20" r:id="rId2"/>
    <sheet name="Starting Values (old)" sheetId="30" r:id="rId3"/>
    <sheet name="Sources of Nutrients (old)" sheetId="29" r:id="rId4"/>
    <sheet name="MyPyramid" sheetId="25" r:id="rId5"/>
    <sheet name="calculations" sheetId="4" r:id="rId6"/>
    <sheet name="objective function" sheetId="8" r:id="rId7"/>
    <sheet name="cost" sheetId="15" r:id="rId8"/>
    <sheet name="cost (old)" sheetId="28" r:id="rId9"/>
    <sheet name="nutrient content" sheetId="12" r:id="rId10"/>
    <sheet name="cost constraint" sheetId="18" r:id="rId11"/>
    <sheet name="cost constraint (old)" sheetId="27" r:id="rId12"/>
    <sheet name="lower constraints" sheetId="16" r:id="rId13"/>
    <sheet name="upper constraints" sheetId="17" r:id="rId14"/>
    <sheet name="current consumption" sheetId="10" r:id="rId15"/>
    <sheet name="Model results and default value" sheetId="13" r:id="rId16"/>
    <sheet name="dictionary" sheetId="2" r:id="rId17"/>
    <sheet name="Summary" sheetId="14" r:id="rId18"/>
  </sheets>
  <definedNames>
    <definedName name="_xlnm.Print_Area" localSheetId="0">TFP!$A$1:$U$75</definedName>
    <definedName name="_xlnm.Print_Titles" localSheetId="12">'lower constraints'!$B:$B</definedName>
    <definedName name="_xlnm.Print_Titles" localSheetId="13">'upper constraints'!#REF!</definedName>
  </definedNames>
  <calcPr calcId="145621"/>
</workbook>
</file>

<file path=xl/calcChain.xml><?xml version="1.0" encoding="utf-8"?>
<calcChain xmlns="http://schemas.openxmlformats.org/spreadsheetml/2006/main">
  <c r="Q52" i="1" l="1"/>
  <c r="Q51" i="1"/>
  <c r="Q50" i="1"/>
  <c r="Q49" i="1"/>
  <c r="Q48" i="1"/>
  <c r="Q47" i="1"/>
  <c r="K5" i="8" l="1"/>
  <c r="B66" i="4"/>
  <c r="B65" i="4"/>
  <c r="N69" i="20"/>
  <c r="M69" i="20"/>
  <c r="L69" i="20"/>
  <c r="K69" i="20"/>
  <c r="J69" i="20"/>
  <c r="I69" i="20"/>
  <c r="H69" i="20"/>
  <c r="G69" i="20"/>
  <c r="F69" i="20"/>
  <c r="E69" i="20"/>
  <c r="D69" i="20"/>
  <c r="C69" i="20"/>
  <c r="N68" i="20"/>
  <c r="M68" i="20"/>
  <c r="L68" i="20"/>
  <c r="K68" i="20"/>
  <c r="J68" i="20"/>
  <c r="I68" i="20"/>
  <c r="H68" i="20"/>
  <c r="G68" i="20"/>
  <c r="F68" i="20"/>
  <c r="E68" i="20"/>
  <c r="D68" i="20"/>
  <c r="C68" i="20"/>
  <c r="N67" i="20"/>
  <c r="M67" i="20"/>
  <c r="L67" i="20"/>
  <c r="K67" i="20"/>
  <c r="J67" i="20"/>
  <c r="I67" i="20"/>
  <c r="H67" i="20"/>
  <c r="G67" i="20"/>
  <c r="F67" i="20"/>
  <c r="E67" i="20"/>
  <c r="D67" i="20"/>
  <c r="C67" i="20"/>
  <c r="N66" i="20"/>
  <c r="M66" i="20"/>
  <c r="L66" i="20"/>
  <c r="K66" i="20"/>
  <c r="J66" i="20"/>
  <c r="I66" i="20"/>
  <c r="H66" i="20"/>
  <c r="G66" i="20"/>
  <c r="F66" i="20"/>
  <c r="E66" i="20"/>
  <c r="D66" i="20"/>
  <c r="C66" i="20"/>
  <c r="N65" i="20"/>
  <c r="M65" i="20"/>
  <c r="L65" i="20"/>
  <c r="K65" i="20"/>
  <c r="J65" i="20"/>
  <c r="I65" i="20"/>
  <c r="H65" i="20"/>
  <c r="G65" i="20"/>
  <c r="F65" i="20"/>
  <c r="E65" i="20"/>
  <c r="D65" i="20"/>
  <c r="C65" i="20"/>
  <c r="N64" i="20"/>
  <c r="M64" i="20"/>
  <c r="L64" i="20"/>
  <c r="K64" i="20"/>
  <c r="J64" i="20"/>
  <c r="I64" i="20"/>
  <c r="H64" i="20"/>
  <c r="G64" i="20"/>
  <c r="F64" i="20"/>
  <c r="E64" i="20"/>
  <c r="D64" i="20"/>
  <c r="C64" i="20"/>
  <c r="N63" i="20"/>
  <c r="M63" i="20"/>
  <c r="L63" i="20"/>
  <c r="K63" i="20"/>
  <c r="J63" i="20"/>
  <c r="I63" i="20"/>
  <c r="H63" i="20"/>
  <c r="G63" i="20"/>
  <c r="F63" i="20"/>
  <c r="E63" i="20"/>
  <c r="D63" i="20"/>
  <c r="C63" i="20"/>
  <c r="N62" i="20"/>
  <c r="M62" i="20"/>
  <c r="L62" i="20"/>
  <c r="K62" i="20"/>
  <c r="J62" i="20"/>
  <c r="I62" i="20"/>
  <c r="H62" i="20"/>
  <c r="G62" i="20"/>
  <c r="F62" i="20"/>
  <c r="E62" i="20"/>
  <c r="D62" i="20"/>
  <c r="C62" i="20"/>
  <c r="N61" i="20"/>
  <c r="M61" i="20"/>
  <c r="L61" i="20"/>
  <c r="K61" i="20"/>
  <c r="J61" i="20"/>
  <c r="I61" i="20"/>
  <c r="H61" i="20"/>
  <c r="G61" i="20"/>
  <c r="F61" i="20"/>
  <c r="E61" i="20"/>
  <c r="D61" i="20"/>
  <c r="C61" i="20"/>
  <c r="N60" i="20"/>
  <c r="M60" i="20"/>
  <c r="L60" i="20"/>
  <c r="K60" i="20"/>
  <c r="J60" i="20"/>
  <c r="I60" i="20"/>
  <c r="H60" i="20"/>
  <c r="G60" i="20"/>
  <c r="F60" i="20"/>
  <c r="E60" i="20"/>
  <c r="D60" i="20"/>
  <c r="C60" i="20"/>
  <c r="N59" i="20"/>
  <c r="M59" i="20"/>
  <c r="L59" i="20"/>
  <c r="K59" i="20"/>
  <c r="J59" i="20"/>
  <c r="I59" i="20"/>
  <c r="H59" i="20"/>
  <c r="G59" i="20"/>
  <c r="F59" i="20"/>
  <c r="E59" i="20"/>
  <c r="D59" i="20"/>
  <c r="C59" i="20"/>
  <c r="N58" i="20"/>
  <c r="M58" i="20"/>
  <c r="L58" i="20"/>
  <c r="K58" i="20"/>
  <c r="J58" i="20"/>
  <c r="I58" i="20"/>
  <c r="H58" i="20"/>
  <c r="G58" i="20"/>
  <c r="F58" i="20"/>
  <c r="E58" i="20"/>
  <c r="D58" i="20"/>
  <c r="C58" i="20"/>
  <c r="N57" i="20"/>
  <c r="M57" i="20"/>
  <c r="L57" i="20"/>
  <c r="K57" i="20"/>
  <c r="J57" i="20"/>
  <c r="I57" i="20"/>
  <c r="H57" i="20"/>
  <c r="G57" i="20"/>
  <c r="F57" i="20"/>
  <c r="E57" i="20"/>
  <c r="D57" i="20"/>
  <c r="C57" i="20"/>
  <c r="N56" i="20"/>
  <c r="M56" i="20"/>
  <c r="L56" i="20"/>
  <c r="K56" i="20"/>
  <c r="J56" i="20"/>
  <c r="I56" i="20"/>
  <c r="H56" i="20"/>
  <c r="G56" i="20"/>
  <c r="F56" i="20"/>
  <c r="E56" i="20"/>
  <c r="D56" i="20"/>
  <c r="C56" i="20"/>
  <c r="N55" i="20"/>
  <c r="M55" i="20"/>
  <c r="L55" i="20"/>
  <c r="K55" i="20"/>
  <c r="J55" i="20"/>
  <c r="I55" i="20"/>
  <c r="H55" i="20"/>
  <c r="G55" i="20"/>
  <c r="F55" i="20"/>
  <c r="E55" i="20"/>
  <c r="D55" i="20"/>
  <c r="C55" i="20"/>
  <c r="N54" i="20"/>
  <c r="M54" i="20"/>
  <c r="L54" i="20"/>
  <c r="K54" i="20"/>
  <c r="J54" i="20"/>
  <c r="I54" i="20"/>
  <c r="H54" i="20"/>
  <c r="G54" i="20"/>
  <c r="F54" i="20"/>
  <c r="E54" i="20"/>
  <c r="D54" i="20"/>
  <c r="C54" i="20"/>
  <c r="N53" i="20"/>
  <c r="M53" i="20"/>
  <c r="L53" i="20"/>
  <c r="K53" i="20"/>
  <c r="J53" i="20"/>
  <c r="I53" i="20"/>
  <c r="H53" i="20"/>
  <c r="G53" i="20"/>
  <c r="F53" i="20"/>
  <c r="E53" i="20"/>
  <c r="D53" i="20"/>
  <c r="C53" i="20"/>
  <c r="N52" i="20"/>
  <c r="M52" i="20"/>
  <c r="L52" i="20"/>
  <c r="K52" i="20"/>
  <c r="J52" i="20"/>
  <c r="I52" i="20"/>
  <c r="H52" i="20"/>
  <c r="G52" i="20"/>
  <c r="F52" i="20"/>
  <c r="E52" i="20"/>
  <c r="D52" i="20"/>
  <c r="C52" i="20"/>
  <c r="N51" i="20"/>
  <c r="M51" i="20"/>
  <c r="L51" i="20"/>
  <c r="K51" i="20"/>
  <c r="J51" i="20"/>
  <c r="I51" i="20"/>
  <c r="H51" i="20"/>
  <c r="G51" i="20"/>
  <c r="F51" i="20"/>
  <c r="E51" i="20"/>
  <c r="D51" i="20"/>
  <c r="C51" i="20"/>
  <c r="N50" i="20"/>
  <c r="M50" i="20"/>
  <c r="L50" i="20"/>
  <c r="K50" i="20"/>
  <c r="J50" i="20"/>
  <c r="I50" i="20"/>
  <c r="H50" i="20"/>
  <c r="G50" i="20"/>
  <c r="F50" i="20"/>
  <c r="E50" i="20"/>
  <c r="D50" i="20"/>
  <c r="C50" i="20"/>
  <c r="N49" i="20"/>
  <c r="M49" i="20"/>
  <c r="L49" i="20"/>
  <c r="K49" i="20"/>
  <c r="J49" i="20"/>
  <c r="I49" i="20"/>
  <c r="H49" i="20"/>
  <c r="G49" i="20"/>
  <c r="F49" i="20"/>
  <c r="E49" i="20"/>
  <c r="D49" i="20"/>
  <c r="C49" i="20"/>
  <c r="N48" i="20"/>
  <c r="M48" i="20"/>
  <c r="L48" i="20"/>
  <c r="K48" i="20"/>
  <c r="J48" i="20"/>
  <c r="I48" i="20"/>
  <c r="H48" i="20"/>
  <c r="G48" i="20"/>
  <c r="F48" i="20"/>
  <c r="E48" i="20"/>
  <c r="D48" i="20"/>
  <c r="C48" i="20"/>
  <c r="N47" i="20"/>
  <c r="M47" i="20"/>
  <c r="L47" i="20"/>
  <c r="K47" i="20"/>
  <c r="J47" i="20"/>
  <c r="I47" i="20"/>
  <c r="H47" i="20"/>
  <c r="G47" i="20"/>
  <c r="F47" i="20"/>
  <c r="E47" i="20"/>
  <c r="D47" i="20"/>
  <c r="C47" i="20"/>
  <c r="N46" i="20"/>
  <c r="M46" i="20"/>
  <c r="L46" i="20"/>
  <c r="K46" i="20"/>
  <c r="J46" i="20"/>
  <c r="I46" i="20"/>
  <c r="H46" i="20"/>
  <c r="G46" i="20"/>
  <c r="F46" i="20"/>
  <c r="E46" i="20"/>
  <c r="D46" i="20"/>
  <c r="C46" i="20"/>
  <c r="N45" i="20"/>
  <c r="M45" i="20"/>
  <c r="L45" i="20"/>
  <c r="K45" i="20"/>
  <c r="J45" i="20"/>
  <c r="I45" i="20"/>
  <c r="H45" i="20"/>
  <c r="G45" i="20"/>
  <c r="F45" i="20"/>
  <c r="E45" i="20"/>
  <c r="D45" i="20"/>
  <c r="C45" i="20"/>
  <c r="N44" i="20"/>
  <c r="M44" i="20"/>
  <c r="L44" i="20"/>
  <c r="K44" i="20"/>
  <c r="J44" i="20"/>
  <c r="I44" i="20"/>
  <c r="H44" i="20"/>
  <c r="G44" i="20"/>
  <c r="F44" i="20"/>
  <c r="E44" i="20"/>
  <c r="D44" i="20"/>
  <c r="C44" i="20"/>
  <c r="N43" i="20"/>
  <c r="M43" i="20"/>
  <c r="L43" i="20"/>
  <c r="K43" i="20"/>
  <c r="J43" i="20"/>
  <c r="I43" i="20"/>
  <c r="H43" i="20"/>
  <c r="G43" i="20"/>
  <c r="F43" i="20"/>
  <c r="E43" i="20"/>
  <c r="D43" i="20"/>
  <c r="C43" i="20"/>
  <c r="N42" i="20"/>
  <c r="M42" i="20"/>
  <c r="L42" i="20"/>
  <c r="K42" i="20"/>
  <c r="J42" i="20"/>
  <c r="I42" i="20"/>
  <c r="H42" i="20"/>
  <c r="G42" i="20"/>
  <c r="F42" i="20"/>
  <c r="E42" i="20"/>
  <c r="D42" i="20"/>
  <c r="C42" i="20"/>
  <c r="N41" i="20"/>
  <c r="M41" i="20"/>
  <c r="L41" i="20"/>
  <c r="K41" i="20"/>
  <c r="J41" i="20"/>
  <c r="I41" i="20"/>
  <c r="H41" i="20"/>
  <c r="G41" i="20"/>
  <c r="F41" i="20"/>
  <c r="E41" i="20"/>
  <c r="D41" i="20"/>
  <c r="C41" i="20"/>
  <c r="N40" i="20"/>
  <c r="M40" i="20"/>
  <c r="L40" i="20"/>
  <c r="K40" i="20"/>
  <c r="J40" i="20"/>
  <c r="I40" i="20"/>
  <c r="H40" i="20"/>
  <c r="G40" i="20"/>
  <c r="F40" i="20"/>
  <c r="E40" i="20"/>
  <c r="D40" i="20"/>
  <c r="C40" i="20"/>
  <c r="N39" i="20"/>
  <c r="M39" i="20"/>
  <c r="L39" i="20"/>
  <c r="K39" i="20"/>
  <c r="J39" i="20"/>
  <c r="I39" i="20"/>
  <c r="H39" i="20"/>
  <c r="G39" i="20"/>
  <c r="F39" i="20"/>
  <c r="E39" i="20"/>
  <c r="D39" i="20"/>
  <c r="C39" i="20"/>
  <c r="N38" i="20"/>
  <c r="M38" i="20"/>
  <c r="L38" i="20"/>
  <c r="K38" i="20"/>
  <c r="J38" i="20"/>
  <c r="I38" i="20"/>
  <c r="H38" i="20"/>
  <c r="G38" i="20"/>
  <c r="F38" i="20"/>
  <c r="E38" i="20"/>
  <c r="D38" i="20"/>
  <c r="C38" i="20"/>
  <c r="N37" i="20"/>
  <c r="M37" i="20"/>
  <c r="L37" i="20"/>
  <c r="K37" i="20"/>
  <c r="J37" i="20"/>
  <c r="I37" i="20"/>
  <c r="H37" i="20"/>
  <c r="G37" i="20"/>
  <c r="F37" i="20"/>
  <c r="E37" i="20"/>
  <c r="D37" i="20"/>
  <c r="C37" i="20"/>
  <c r="N36" i="20"/>
  <c r="M36" i="20"/>
  <c r="L36" i="20"/>
  <c r="K36" i="20"/>
  <c r="J36" i="20"/>
  <c r="I36" i="20"/>
  <c r="H36" i="20"/>
  <c r="G36" i="20"/>
  <c r="F36" i="20"/>
  <c r="E36" i="20"/>
  <c r="D36" i="20"/>
  <c r="C36" i="20"/>
  <c r="N35" i="20"/>
  <c r="M35" i="20"/>
  <c r="L35" i="20"/>
  <c r="K35" i="20"/>
  <c r="J35" i="20"/>
  <c r="I35" i="20"/>
  <c r="H35" i="20"/>
  <c r="G35" i="20"/>
  <c r="F35" i="20"/>
  <c r="E35" i="20"/>
  <c r="D35" i="20"/>
  <c r="C35" i="20"/>
  <c r="N34" i="20"/>
  <c r="M34" i="20"/>
  <c r="L34" i="20"/>
  <c r="K34" i="20"/>
  <c r="J34" i="20"/>
  <c r="I34" i="20"/>
  <c r="H34" i="20"/>
  <c r="G34" i="20"/>
  <c r="F34" i="20"/>
  <c r="E34" i="20"/>
  <c r="D34" i="20"/>
  <c r="C34" i="20"/>
  <c r="N33" i="20"/>
  <c r="M33" i="20"/>
  <c r="L33" i="20"/>
  <c r="K33" i="20"/>
  <c r="J33" i="20"/>
  <c r="I33" i="20"/>
  <c r="H33" i="20"/>
  <c r="G33" i="20"/>
  <c r="F33" i="20"/>
  <c r="E33" i="20"/>
  <c r="D33" i="20"/>
  <c r="C33" i="20"/>
  <c r="N32" i="20"/>
  <c r="M32" i="20"/>
  <c r="L32" i="20"/>
  <c r="K32" i="20"/>
  <c r="J32" i="20"/>
  <c r="I32" i="20"/>
  <c r="H32" i="20"/>
  <c r="G32" i="20"/>
  <c r="F32" i="20"/>
  <c r="E32" i="20"/>
  <c r="D32" i="20"/>
  <c r="C32" i="20"/>
  <c r="N31" i="20"/>
  <c r="M31" i="20"/>
  <c r="L31" i="20"/>
  <c r="K31" i="20"/>
  <c r="J31" i="20"/>
  <c r="I31" i="20"/>
  <c r="H31" i="20"/>
  <c r="G31" i="20"/>
  <c r="F31" i="20"/>
  <c r="E31" i="20"/>
  <c r="D31" i="20"/>
  <c r="C31" i="20"/>
  <c r="N30" i="20"/>
  <c r="M30" i="20"/>
  <c r="L30" i="20"/>
  <c r="K30" i="20"/>
  <c r="J30" i="20"/>
  <c r="I30" i="20"/>
  <c r="H30" i="20"/>
  <c r="G30" i="20"/>
  <c r="F30" i="20"/>
  <c r="E30" i="20"/>
  <c r="D30" i="20"/>
  <c r="C30" i="20"/>
  <c r="N29" i="20"/>
  <c r="M29" i="20"/>
  <c r="L29" i="20"/>
  <c r="K29" i="20"/>
  <c r="J29" i="20"/>
  <c r="I29" i="20"/>
  <c r="H29" i="20"/>
  <c r="G29" i="20"/>
  <c r="F29" i="20"/>
  <c r="E29" i="20"/>
  <c r="D29" i="20"/>
  <c r="C29" i="20"/>
  <c r="N28" i="20"/>
  <c r="M28" i="20"/>
  <c r="L28" i="20"/>
  <c r="K28" i="20"/>
  <c r="J28" i="20"/>
  <c r="I28" i="20"/>
  <c r="H28" i="20"/>
  <c r="G28" i="20"/>
  <c r="F28" i="20"/>
  <c r="E28" i="20"/>
  <c r="D28" i="20"/>
  <c r="C28" i="20"/>
  <c r="N27" i="20"/>
  <c r="M27" i="20"/>
  <c r="L27" i="20"/>
  <c r="K27" i="20"/>
  <c r="J27" i="20"/>
  <c r="I27" i="20"/>
  <c r="H27" i="20"/>
  <c r="G27" i="20"/>
  <c r="F27" i="20"/>
  <c r="E27" i="20"/>
  <c r="D27" i="20"/>
  <c r="C27" i="20"/>
  <c r="N26" i="20"/>
  <c r="M26" i="20"/>
  <c r="L26" i="20"/>
  <c r="K26" i="20"/>
  <c r="J26" i="20"/>
  <c r="I26" i="20"/>
  <c r="H26" i="20"/>
  <c r="G26" i="20"/>
  <c r="F26" i="20"/>
  <c r="E26" i="20"/>
  <c r="D26" i="20"/>
  <c r="C26" i="20"/>
  <c r="N25" i="20"/>
  <c r="M25" i="20"/>
  <c r="L25" i="20"/>
  <c r="K25" i="20"/>
  <c r="J25" i="20"/>
  <c r="I25" i="20"/>
  <c r="H25" i="20"/>
  <c r="G25" i="20"/>
  <c r="F25" i="20"/>
  <c r="E25" i="20"/>
  <c r="D25" i="20"/>
  <c r="C25" i="20"/>
  <c r="N24" i="20"/>
  <c r="M24" i="20"/>
  <c r="L24" i="20"/>
  <c r="K24" i="20"/>
  <c r="J24" i="20"/>
  <c r="I24" i="20"/>
  <c r="H24" i="20"/>
  <c r="G24" i="20"/>
  <c r="F24" i="20"/>
  <c r="E24" i="20"/>
  <c r="D24" i="20"/>
  <c r="C24" i="20"/>
  <c r="N23" i="20"/>
  <c r="M23" i="20"/>
  <c r="L23" i="20"/>
  <c r="K23" i="20"/>
  <c r="J23" i="20"/>
  <c r="I23" i="20"/>
  <c r="H23" i="20"/>
  <c r="G23" i="20"/>
  <c r="F23" i="20"/>
  <c r="E23" i="20"/>
  <c r="D23" i="20"/>
  <c r="C23" i="20"/>
  <c r="N22" i="20"/>
  <c r="M22" i="20"/>
  <c r="L22" i="20"/>
  <c r="K22" i="20"/>
  <c r="J22" i="20"/>
  <c r="I22" i="20"/>
  <c r="H22" i="20"/>
  <c r="G22" i="20"/>
  <c r="F22" i="20"/>
  <c r="E22" i="20"/>
  <c r="D22" i="20"/>
  <c r="C22" i="20"/>
  <c r="N21" i="20"/>
  <c r="M21" i="20"/>
  <c r="L21" i="20"/>
  <c r="K21" i="20"/>
  <c r="J21" i="20"/>
  <c r="I21" i="20"/>
  <c r="H21" i="20"/>
  <c r="G21" i="20"/>
  <c r="F21" i="20"/>
  <c r="E21" i="20"/>
  <c r="D21" i="20"/>
  <c r="C21" i="20"/>
  <c r="N20" i="20"/>
  <c r="M20" i="20"/>
  <c r="L20" i="20"/>
  <c r="K20" i="20"/>
  <c r="J20" i="20"/>
  <c r="I20" i="20"/>
  <c r="H20" i="20"/>
  <c r="G20" i="20"/>
  <c r="F20" i="20"/>
  <c r="E20" i="20"/>
  <c r="D20" i="20"/>
  <c r="C20" i="20"/>
  <c r="N19" i="20"/>
  <c r="M19" i="20"/>
  <c r="L19" i="20"/>
  <c r="K19" i="20"/>
  <c r="J19" i="20"/>
  <c r="I19" i="20"/>
  <c r="H19" i="20"/>
  <c r="G19" i="20"/>
  <c r="F19" i="20"/>
  <c r="E19" i="20"/>
  <c r="D19" i="20"/>
  <c r="C19" i="20"/>
  <c r="N18" i="20"/>
  <c r="M18" i="20"/>
  <c r="L18" i="20"/>
  <c r="K18" i="20"/>
  <c r="J18" i="20"/>
  <c r="I18" i="20"/>
  <c r="H18" i="20"/>
  <c r="G18" i="20"/>
  <c r="F18" i="20"/>
  <c r="E18" i="20"/>
  <c r="D18" i="20"/>
  <c r="C18" i="20"/>
  <c r="N17" i="20"/>
  <c r="M17" i="20"/>
  <c r="L17" i="20"/>
  <c r="K17" i="20"/>
  <c r="J17" i="20"/>
  <c r="I17" i="20"/>
  <c r="H17" i="20"/>
  <c r="G17" i="20"/>
  <c r="F17" i="20"/>
  <c r="E17" i="20"/>
  <c r="D17" i="20"/>
  <c r="C17" i="20"/>
  <c r="N16" i="20"/>
  <c r="M16" i="20"/>
  <c r="L16" i="20"/>
  <c r="K16" i="20"/>
  <c r="J16" i="20"/>
  <c r="I16" i="20"/>
  <c r="H16" i="20"/>
  <c r="G16" i="20"/>
  <c r="F16" i="20"/>
  <c r="E16" i="20"/>
  <c r="D16" i="20"/>
  <c r="C16" i="20"/>
  <c r="N15" i="20"/>
  <c r="M15" i="20"/>
  <c r="L15" i="20"/>
  <c r="K15" i="20"/>
  <c r="J15" i="20"/>
  <c r="I15" i="20"/>
  <c r="H15" i="20"/>
  <c r="G15" i="20"/>
  <c r="F15" i="20"/>
  <c r="E15" i="20"/>
  <c r="D15" i="20"/>
  <c r="C15" i="20"/>
  <c r="N14" i="20"/>
  <c r="M14" i="20"/>
  <c r="L14" i="20"/>
  <c r="K14" i="20"/>
  <c r="J14" i="20"/>
  <c r="I14" i="20"/>
  <c r="H14" i="20"/>
  <c r="G14" i="20"/>
  <c r="F14" i="20"/>
  <c r="E14" i="20"/>
  <c r="D14" i="20"/>
  <c r="C14" i="20"/>
  <c r="N13" i="20"/>
  <c r="M13" i="20"/>
  <c r="L13" i="20"/>
  <c r="K13" i="20"/>
  <c r="J13" i="20"/>
  <c r="I13" i="20"/>
  <c r="H13" i="20"/>
  <c r="G13" i="20"/>
  <c r="F13" i="20"/>
  <c r="E13" i="20"/>
  <c r="D13" i="20"/>
  <c r="C13" i="20"/>
  <c r="N12" i="20"/>
  <c r="M12" i="20"/>
  <c r="L12" i="20"/>
  <c r="K12" i="20"/>
  <c r="J12" i="20"/>
  <c r="I12" i="20"/>
  <c r="H12" i="20"/>
  <c r="G12" i="20"/>
  <c r="F12" i="20"/>
  <c r="E12" i="20"/>
  <c r="D12" i="20"/>
  <c r="C12" i="20"/>
  <c r="N8" i="20"/>
  <c r="M8" i="20"/>
  <c r="L8" i="20"/>
  <c r="K8" i="20"/>
  <c r="J8" i="20"/>
  <c r="I8" i="20"/>
  <c r="H8" i="20"/>
  <c r="G8" i="20"/>
  <c r="F8" i="20"/>
  <c r="E8" i="20"/>
  <c r="D8" i="20"/>
  <c r="C8" i="20"/>
  <c r="N70" i="30"/>
  <c r="M70" i="30"/>
  <c r="L70" i="30"/>
  <c r="K70" i="30"/>
  <c r="J70" i="30"/>
  <c r="I70" i="30"/>
  <c r="H70" i="30"/>
  <c r="G70" i="30"/>
  <c r="F70" i="30"/>
  <c r="E70" i="30"/>
  <c r="D70" i="30"/>
  <c r="C70" i="30"/>
  <c r="DP61" i="29"/>
  <c r="DG61" i="29"/>
  <c r="CX61" i="29"/>
  <c r="CO61" i="29"/>
  <c r="CF61" i="29"/>
  <c r="BW61" i="29"/>
  <c r="BN61" i="29"/>
  <c r="BE61" i="29"/>
  <c r="AV61" i="29"/>
  <c r="AM61" i="29"/>
  <c r="AD61" i="29"/>
  <c r="U61" i="29"/>
  <c r="L61" i="29"/>
  <c r="DP60" i="29"/>
  <c r="DG60" i="29"/>
  <c r="CX60" i="29"/>
  <c r="CO60" i="29"/>
  <c r="CF60" i="29"/>
  <c r="BW60" i="29"/>
  <c r="BN60" i="29"/>
  <c r="BE60" i="29"/>
  <c r="AV60" i="29"/>
  <c r="AM60" i="29"/>
  <c r="AD60" i="29"/>
  <c r="U60" i="29"/>
  <c r="L60" i="29"/>
  <c r="DP59" i="29"/>
  <c r="DG59" i="29"/>
  <c r="CX59" i="29"/>
  <c r="CO59" i="29"/>
  <c r="CF59" i="29"/>
  <c r="BW59" i="29"/>
  <c r="BN59" i="29"/>
  <c r="BE59" i="29"/>
  <c r="AV59" i="29"/>
  <c r="AM59" i="29"/>
  <c r="AD59" i="29"/>
  <c r="U59" i="29"/>
  <c r="L59" i="29"/>
  <c r="DP58" i="29"/>
  <c r="DG58" i="29"/>
  <c r="CX58" i="29"/>
  <c r="CO58" i="29"/>
  <c r="CF58" i="29"/>
  <c r="BW58" i="29"/>
  <c r="BN58" i="29"/>
  <c r="BE58" i="29"/>
  <c r="AV58" i="29"/>
  <c r="AM58" i="29"/>
  <c r="AD58" i="29"/>
  <c r="U58" i="29"/>
  <c r="L58" i="29"/>
  <c r="DP57" i="29"/>
  <c r="DG57" i="29"/>
  <c r="CX57" i="29"/>
  <c r="CO57" i="29"/>
  <c r="CF57" i="29"/>
  <c r="BW57" i="29"/>
  <c r="BN57" i="29"/>
  <c r="BE57" i="29"/>
  <c r="AV57" i="29"/>
  <c r="AM57" i="29"/>
  <c r="AD57" i="29"/>
  <c r="U57" i="29"/>
  <c r="L57" i="29"/>
  <c r="DP56" i="29"/>
  <c r="DG56" i="29"/>
  <c r="CX56" i="29"/>
  <c r="CO56" i="29"/>
  <c r="CF56" i="29"/>
  <c r="BW56" i="29"/>
  <c r="BN56" i="29"/>
  <c r="BE56" i="29"/>
  <c r="AV56" i="29"/>
  <c r="AM56" i="29"/>
  <c r="AD56" i="29"/>
  <c r="U56" i="29"/>
  <c r="L56" i="29"/>
  <c r="DP55" i="29"/>
  <c r="DG55" i="29"/>
  <c r="CX55" i="29"/>
  <c r="CO55" i="29"/>
  <c r="CF55" i="29"/>
  <c r="BW55" i="29"/>
  <c r="BN55" i="29"/>
  <c r="BE55" i="29"/>
  <c r="AV55" i="29"/>
  <c r="AM55" i="29"/>
  <c r="AD55" i="29"/>
  <c r="U55" i="29"/>
  <c r="L55" i="29"/>
  <c r="DP54" i="29"/>
  <c r="DG54" i="29"/>
  <c r="CX54" i="29"/>
  <c r="CO54" i="29"/>
  <c r="CF54" i="29"/>
  <c r="BW54" i="29"/>
  <c r="BN54" i="29"/>
  <c r="BE54" i="29"/>
  <c r="AV54" i="29"/>
  <c r="AM54" i="29"/>
  <c r="AD54" i="29"/>
  <c r="U54" i="29"/>
  <c r="L54" i="29"/>
  <c r="DP53" i="29"/>
  <c r="DG53" i="29"/>
  <c r="CX53" i="29"/>
  <c r="CO53" i="29"/>
  <c r="CF53" i="29"/>
  <c r="BW53" i="29"/>
  <c r="BN53" i="29"/>
  <c r="BE53" i="29"/>
  <c r="AV53" i="29"/>
  <c r="AM53" i="29"/>
  <c r="AD53" i="29"/>
  <c r="U53" i="29"/>
  <c r="L53" i="29"/>
  <c r="DP52" i="29"/>
  <c r="DG52" i="29"/>
  <c r="CX52" i="29"/>
  <c r="CO52" i="29"/>
  <c r="CF52" i="29"/>
  <c r="BW52" i="29"/>
  <c r="BN52" i="29"/>
  <c r="BE52" i="29"/>
  <c r="AV52" i="29"/>
  <c r="AM52" i="29"/>
  <c r="AD52" i="29"/>
  <c r="U52" i="29"/>
  <c r="L52" i="29"/>
  <c r="DP51" i="29"/>
  <c r="DG51" i="29"/>
  <c r="CX51" i="29"/>
  <c r="CO51" i="29"/>
  <c r="CF51" i="29"/>
  <c r="BW51" i="29"/>
  <c r="BN51" i="29"/>
  <c r="BE51" i="29"/>
  <c r="AV51" i="29"/>
  <c r="AM51" i="29"/>
  <c r="AD51" i="29"/>
  <c r="U51" i="29"/>
  <c r="L51" i="29"/>
  <c r="DP50" i="29"/>
  <c r="DG50" i="29"/>
  <c r="CX50" i="29"/>
  <c r="CO50" i="29"/>
  <c r="CF50" i="29"/>
  <c r="BW50" i="29"/>
  <c r="BN50" i="29"/>
  <c r="BE50" i="29"/>
  <c r="AV50" i="29"/>
  <c r="AM50" i="29"/>
  <c r="AD50" i="29"/>
  <c r="U50" i="29"/>
  <c r="L50" i="29"/>
  <c r="DP49" i="29"/>
  <c r="DG49" i="29"/>
  <c r="CX49" i="29"/>
  <c r="CO49" i="29"/>
  <c r="CF49" i="29"/>
  <c r="BW49" i="29"/>
  <c r="BN49" i="29"/>
  <c r="BE49" i="29"/>
  <c r="AV49" i="29"/>
  <c r="AM49" i="29"/>
  <c r="AD49" i="29"/>
  <c r="U49" i="29"/>
  <c r="L49" i="29"/>
  <c r="DP48" i="29"/>
  <c r="DG48" i="29"/>
  <c r="CX48" i="29"/>
  <c r="CO48" i="29"/>
  <c r="CF48" i="29"/>
  <c r="BW48" i="29"/>
  <c r="BN48" i="29"/>
  <c r="BE48" i="29"/>
  <c r="AV48" i="29"/>
  <c r="AM48" i="29"/>
  <c r="AD48" i="29"/>
  <c r="U48" i="29"/>
  <c r="L48" i="29"/>
  <c r="DP47" i="29"/>
  <c r="DG47" i="29"/>
  <c r="CX47" i="29"/>
  <c r="CO47" i="29"/>
  <c r="CF47" i="29"/>
  <c r="BW47" i="29"/>
  <c r="BN47" i="29"/>
  <c r="BE47" i="29"/>
  <c r="AV47" i="29"/>
  <c r="AM47" i="29"/>
  <c r="AD47" i="29"/>
  <c r="U47" i="29"/>
  <c r="L47" i="29"/>
  <c r="DP46" i="29"/>
  <c r="DG46" i="29"/>
  <c r="CX46" i="29"/>
  <c r="CO46" i="29"/>
  <c r="CF46" i="29"/>
  <c r="BW46" i="29"/>
  <c r="BN46" i="29"/>
  <c r="BE46" i="29"/>
  <c r="AV46" i="29"/>
  <c r="AM46" i="29"/>
  <c r="AD46" i="29"/>
  <c r="U46" i="29"/>
  <c r="L46" i="29"/>
  <c r="DP45" i="29"/>
  <c r="DG45" i="29"/>
  <c r="CX45" i="29"/>
  <c r="CO45" i="29"/>
  <c r="CF45" i="29"/>
  <c r="BW45" i="29"/>
  <c r="BN45" i="29"/>
  <c r="BE45" i="29"/>
  <c r="AV45" i="29"/>
  <c r="AM45" i="29"/>
  <c r="AD45" i="29"/>
  <c r="U45" i="29"/>
  <c r="L45" i="29"/>
  <c r="DP44" i="29"/>
  <c r="DG44" i="29"/>
  <c r="CX44" i="29"/>
  <c r="CO44" i="29"/>
  <c r="CF44" i="29"/>
  <c r="BW44" i="29"/>
  <c r="BN44" i="29"/>
  <c r="BE44" i="29"/>
  <c r="AV44" i="29"/>
  <c r="AM44" i="29"/>
  <c r="AD44" i="29"/>
  <c r="U44" i="29"/>
  <c r="L44" i="29"/>
  <c r="DP43" i="29"/>
  <c r="DG43" i="29"/>
  <c r="CX43" i="29"/>
  <c r="CO43" i="29"/>
  <c r="CF43" i="29"/>
  <c r="BW43" i="29"/>
  <c r="BN43" i="29"/>
  <c r="BE43" i="29"/>
  <c r="AV43" i="29"/>
  <c r="AM43" i="29"/>
  <c r="AD43" i="29"/>
  <c r="U43" i="29"/>
  <c r="L43" i="29"/>
  <c r="DP42" i="29"/>
  <c r="DG42" i="29"/>
  <c r="CX42" i="29"/>
  <c r="CO42" i="29"/>
  <c r="CF42" i="29"/>
  <c r="BW42" i="29"/>
  <c r="BN42" i="29"/>
  <c r="BE42" i="29"/>
  <c r="AV42" i="29"/>
  <c r="AM42" i="29"/>
  <c r="AD42" i="29"/>
  <c r="U42" i="29"/>
  <c r="L42" i="29"/>
  <c r="DP41" i="29"/>
  <c r="DG41" i="29"/>
  <c r="CX41" i="29"/>
  <c r="CO41" i="29"/>
  <c r="CF41" i="29"/>
  <c r="BW41" i="29"/>
  <c r="BN41" i="29"/>
  <c r="BE41" i="29"/>
  <c r="AV41" i="29"/>
  <c r="AM41" i="29"/>
  <c r="AD41" i="29"/>
  <c r="U41" i="29"/>
  <c r="L41" i="29"/>
  <c r="DP40" i="29"/>
  <c r="DG40" i="29"/>
  <c r="CX40" i="29"/>
  <c r="CO40" i="29"/>
  <c r="CF40" i="29"/>
  <c r="BW40" i="29"/>
  <c r="BN40" i="29"/>
  <c r="BE40" i="29"/>
  <c r="AV40" i="29"/>
  <c r="AM40" i="29"/>
  <c r="AD40" i="29"/>
  <c r="U40" i="29"/>
  <c r="L40" i="29"/>
  <c r="DP39" i="29"/>
  <c r="DG39" i="29"/>
  <c r="CX39" i="29"/>
  <c r="CO39" i="29"/>
  <c r="CF39" i="29"/>
  <c r="BW39" i="29"/>
  <c r="BN39" i="29"/>
  <c r="BE39" i="29"/>
  <c r="AV39" i="29"/>
  <c r="AM39" i="29"/>
  <c r="AD39" i="29"/>
  <c r="U39" i="29"/>
  <c r="L39" i="29"/>
  <c r="DP38" i="29"/>
  <c r="DG38" i="29"/>
  <c r="CX38" i="29"/>
  <c r="CO38" i="29"/>
  <c r="CF38" i="29"/>
  <c r="BW38" i="29"/>
  <c r="BN38" i="29"/>
  <c r="BE38" i="29"/>
  <c r="AV38" i="29"/>
  <c r="AM38" i="29"/>
  <c r="AD38" i="29"/>
  <c r="U38" i="29"/>
  <c r="L38" i="29"/>
  <c r="DP37" i="29"/>
  <c r="DG37" i="29"/>
  <c r="CX37" i="29"/>
  <c r="CO37" i="29"/>
  <c r="CF37" i="29"/>
  <c r="BW37" i="29"/>
  <c r="BN37" i="29"/>
  <c r="BE37" i="29"/>
  <c r="AV37" i="29"/>
  <c r="AM37" i="29"/>
  <c r="AD37" i="29"/>
  <c r="U37" i="29"/>
  <c r="L37" i="29"/>
  <c r="DP36" i="29"/>
  <c r="DG36" i="29"/>
  <c r="CX36" i="29"/>
  <c r="CO36" i="29"/>
  <c r="CF36" i="29"/>
  <c r="BW36" i="29"/>
  <c r="BN36" i="29"/>
  <c r="BE36" i="29"/>
  <c r="AV36" i="29"/>
  <c r="AM36" i="29"/>
  <c r="AD36" i="29"/>
  <c r="U36" i="29"/>
  <c r="L36" i="29"/>
  <c r="DP35" i="29"/>
  <c r="DG35" i="29"/>
  <c r="CX35" i="29"/>
  <c r="CO35" i="29"/>
  <c r="CF35" i="29"/>
  <c r="BW35" i="29"/>
  <c r="BN35" i="29"/>
  <c r="BE35" i="29"/>
  <c r="AV35" i="29"/>
  <c r="AM35" i="29"/>
  <c r="AD35" i="29"/>
  <c r="U35" i="29"/>
  <c r="L35" i="29"/>
  <c r="DP34" i="29"/>
  <c r="DG34" i="29"/>
  <c r="CX34" i="29"/>
  <c r="CO34" i="29"/>
  <c r="CF34" i="29"/>
  <c r="BW34" i="29"/>
  <c r="BN34" i="29"/>
  <c r="BE34" i="29"/>
  <c r="AV34" i="29"/>
  <c r="AM34" i="29"/>
  <c r="AD34" i="29"/>
  <c r="U34" i="29"/>
  <c r="L34" i="29"/>
  <c r="DP33" i="29"/>
  <c r="DG33" i="29"/>
  <c r="CX33" i="29"/>
  <c r="CO33" i="29"/>
  <c r="CF33" i="29"/>
  <c r="BW33" i="29"/>
  <c r="BN33" i="29"/>
  <c r="BE33" i="29"/>
  <c r="AV33" i="29"/>
  <c r="AM33" i="29"/>
  <c r="AD33" i="29"/>
  <c r="U33" i="29"/>
  <c r="L33" i="29"/>
  <c r="DP32" i="29"/>
  <c r="DG32" i="29"/>
  <c r="CX32" i="29"/>
  <c r="CO32" i="29"/>
  <c r="CF32" i="29"/>
  <c r="BW32" i="29"/>
  <c r="BN32" i="29"/>
  <c r="BE32" i="29"/>
  <c r="AV32" i="29"/>
  <c r="AM32" i="29"/>
  <c r="AD32" i="29"/>
  <c r="U32" i="29"/>
  <c r="L32" i="29"/>
  <c r="DP31" i="29"/>
  <c r="DG31" i="29"/>
  <c r="CX31" i="29"/>
  <c r="CO31" i="29"/>
  <c r="CF31" i="29"/>
  <c r="BW31" i="29"/>
  <c r="BN31" i="29"/>
  <c r="BE31" i="29"/>
  <c r="AV31" i="29"/>
  <c r="AM31" i="29"/>
  <c r="AD31" i="29"/>
  <c r="U31" i="29"/>
  <c r="L31" i="29"/>
  <c r="DP30" i="29"/>
  <c r="DG30" i="29"/>
  <c r="CX30" i="29"/>
  <c r="CO30" i="29"/>
  <c r="CF30" i="29"/>
  <c r="BW30" i="29"/>
  <c r="BN30" i="29"/>
  <c r="BE30" i="29"/>
  <c r="AV30" i="29"/>
  <c r="AM30" i="29"/>
  <c r="AD30" i="29"/>
  <c r="U30" i="29"/>
  <c r="L30" i="29"/>
  <c r="DP29" i="29"/>
  <c r="DG29" i="29"/>
  <c r="CX29" i="29"/>
  <c r="CO29" i="29"/>
  <c r="CF29" i="29"/>
  <c r="BW29" i="29"/>
  <c r="BN29" i="29"/>
  <c r="BE29" i="29"/>
  <c r="AV29" i="29"/>
  <c r="AM29" i="29"/>
  <c r="AD29" i="29"/>
  <c r="U29" i="29"/>
  <c r="L29" i="29"/>
  <c r="DP28" i="29"/>
  <c r="DG28" i="29"/>
  <c r="CX28" i="29"/>
  <c r="CO28" i="29"/>
  <c r="CF28" i="29"/>
  <c r="BW28" i="29"/>
  <c r="BN28" i="29"/>
  <c r="BE28" i="29"/>
  <c r="AV28" i="29"/>
  <c r="AM28" i="29"/>
  <c r="AD28" i="29"/>
  <c r="U28" i="29"/>
  <c r="L28" i="29"/>
  <c r="DP27" i="29"/>
  <c r="DG27" i="29"/>
  <c r="CX27" i="29"/>
  <c r="CO27" i="29"/>
  <c r="CF27" i="29"/>
  <c r="BW27" i="29"/>
  <c r="BN27" i="29"/>
  <c r="BE27" i="29"/>
  <c r="AV27" i="29"/>
  <c r="AM27" i="29"/>
  <c r="AD27" i="29"/>
  <c r="U27" i="29"/>
  <c r="L27" i="29"/>
  <c r="DP26" i="29"/>
  <c r="DG26" i="29"/>
  <c r="CX26" i="29"/>
  <c r="CO26" i="29"/>
  <c r="CF26" i="29"/>
  <c r="BW26" i="29"/>
  <c r="BN26" i="29"/>
  <c r="BE26" i="29"/>
  <c r="AV26" i="29"/>
  <c r="AM26" i="29"/>
  <c r="AD26" i="29"/>
  <c r="U26" i="29"/>
  <c r="L26" i="29"/>
  <c r="DP25" i="29"/>
  <c r="DG25" i="29"/>
  <c r="CX25" i="29"/>
  <c r="CO25" i="29"/>
  <c r="CF25" i="29"/>
  <c r="BW25" i="29"/>
  <c r="BN25" i="29"/>
  <c r="BE25" i="29"/>
  <c r="AV25" i="29"/>
  <c r="AM25" i="29"/>
  <c r="AD25" i="29"/>
  <c r="U25" i="29"/>
  <c r="L25" i="29"/>
  <c r="DP24" i="29"/>
  <c r="DG24" i="29"/>
  <c r="CX24" i="29"/>
  <c r="CO24" i="29"/>
  <c r="CF24" i="29"/>
  <c r="BW24" i="29"/>
  <c r="BN24" i="29"/>
  <c r="BE24" i="29"/>
  <c r="AV24" i="29"/>
  <c r="AM24" i="29"/>
  <c r="AD24" i="29"/>
  <c r="U24" i="29"/>
  <c r="L24" i="29"/>
  <c r="DP23" i="29"/>
  <c r="DG23" i="29"/>
  <c r="CX23" i="29"/>
  <c r="CO23" i="29"/>
  <c r="CF23" i="29"/>
  <c r="BW23" i="29"/>
  <c r="BN23" i="29"/>
  <c r="BE23" i="29"/>
  <c r="AV23" i="29"/>
  <c r="AM23" i="29"/>
  <c r="AD23" i="29"/>
  <c r="U23" i="29"/>
  <c r="L23" i="29"/>
  <c r="DP22" i="29"/>
  <c r="DG22" i="29"/>
  <c r="CX22" i="29"/>
  <c r="CO22" i="29"/>
  <c r="CF22" i="29"/>
  <c r="BW22" i="29"/>
  <c r="BN22" i="29"/>
  <c r="BE22" i="29"/>
  <c r="AV22" i="29"/>
  <c r="AM22" i="29"/>
  <c r="AD22" i="29"/>
  <c r="U22" i="29"/>
  <c r="L22" i="29"/>
  <c r="DP21" i="29"/>
  <c r="DG21" i="29"/>
  <c r="CX21" i="29"/>
  <c r="CO21" i="29"/>
  <c r="CF21" i="29"/>
  <c r="BW21" i="29"/>
  <c r="BN21" i="29"/>
  <c r="BE21" i="29"/>
  <c r="AV21" i="29"/>
  <c r="AM21" i="29"/>
  <c r="AD21" i="29"/>
  <c r="U21" i="29"/>
  <c r="L21" i="29"/>
  <c r="DP20" i="29"/>
  <c r="DG20" i="29"/>
  <c r="CX20" i="29"/>
  <c r="CO20" i="29"/>
  <c r="CF20" i="29"/>
  <c r="BW20" i="29"/>
  <c r="BN20" i="29"/>
  <c r="BE20" i="29"/>
  <c r="AV20" i="29"/>
  <c r="AM20" i="29"/>
  <c r="AD20" i="29"/>
  <c r="U20" i="29"/>
  <c r="L20" i="29"/>
  <c r="DP19" i="29"/>
  <c r="DG19" i="29"/>
  <c r="CX19" i="29"/>
  <c r="CO19" i="29"/>
  <c r="CF19" i="29"/>
  <c r="BW19" i="29"/>
  <c r="BN19" i="29"/>
  <c r="BE19" i="29"/>
  <c r="AV19" i="29"/>
  <c r="AM19" i="29"/>
  <c r="AD19" i="29"/>
  <c r="U19" i="29"/>
  <c r="L19" i="29"/>
  <c r="DP18" i="29"/>
  <c r="DG18" i="29"/>
  <c r="CX18" i="29"/>
  <c r="CO18" i="29"/>
  <c r="CF18" i="29"/>
  <c r="BW18" i="29"/>
  <c r="BN18" i="29"/>
  <c r="BE18" i="29"/>
  <c r="AV18" i="29"/>
  <c r="AM18" i="29"/>
  <c r="AD18" i="29"/>
  <c r="U18" i="29"/>
  <c r="L18" i="29"/>
  <c r="DP17" i="29"/>
  <c r="DG17" i="29"/>
  <c r="CX17" i="29"/>
  <c r="CO17" i="29"/>
  <c r="CF17" i="29"/>
  <c r="BW17" i="29"/>
  <c r="BN17" i="29"/>
  <c r="BE17" i="29"/>
  <c r="AV17" i="29"/>
  <c r="AM17" i="29"/>
  <c r="AD17" i="29"/>
  <c r="U17" i="29"/>
  <c r="L17" i="29"/>
  <c r="DP16" i="29"/>
  <c r="DG16" i="29"/>
  <c r="CX16" i="29"/>
  <c r="CO16" i="29"/>
  <c r="CF16" i="29"/>
  <c r="BW16" i="29"/>
  <c r="BN16" i="29"/>
  <c r="BE16" i="29"/>
  <c r="AV16" i="29"/>
  <c r="AM16" i="29"/>
  <c r="AD16" i="29"/>
  <c r="U16" i="29"/>
  <c r="L16" i="29"/>
  <c r="DP15" i="29"/>
  <c r="DG15" i="29"/>
  <c r="CX15" i="29"/>
  <c r="CO15" i="29"/>
  <c r="CF15" i="29"/>
  <c r="BW15" i="29"/>
  <c r="BN15" i="29"/>
  <c r="BE15" i="29"/>
  <c r="AV15" i="29"/>
  <c r="AM15" i="29"/>
  <c r="AD15" i="29"/>
  <c r="U15" i="29"/>
  <c r="L15" i="29"/>
  <c r="DP14" i="29"/>
  <c r="DG14" i="29"/>
  <c r="CX14" i="29"/>
  <c r="CO14" i="29"/>
  <c r="CF14" i="29"/>
  <c r="BW14" i="29"/>
  <c r="BN14" i="29"/>
  <c r="BE14" i="29"/>
  <c r="AV14" i="29"/>
  <c r="AM14" i="29"/>
  <c r="AD14" i="29"/>
  <c r="U14" i="29"/>
  <c r="L14" i="29"/>
  <c r="DP13" i="29"/>
  <c r="DG13" i="29"/>
  <c r="CX13" i="29"/>
  <c r="CO13" i="29"/>
  <c r="CF13" i="29"/>
  <c r="BW13" i="29"/>
  <c r="BN13" i="29"/>
  <c r="BE13" i="29"/>
  <c r="AV13" i="29"/>
  <c r="AM13" i="29"/>
  <c r="AD13" i="29"/>
  <c r="U13" i="29"/>
  <c r="L13" i="29"/>
  <c r="DP12" i="29"/>
  <c r="DG12" i="29"/>
  <c r="CX12" i="29"/>
  <c r="CO12" i="29"/>
  <c r="CF12" i="29"/>
  <c r="BW12" i="29"/>
  <c r="BN12" i="29"/>
  <c r="BE12" i="29"/>
  <c r="AV12" i="29"/>
  <c r="AM12" i="29"/>
  <c r="AD12" i="29"/>
  <c r="U12" i="29"/>
  <c r="L12" i="29"/>
  <c r="DP11" i="29"/>
  <c r="DG11" i="29"/>
  <c r="CX11" i="29"/>
  <c r="CO11" i="29"/>
  <c r="CF11" i="29"/>
  <c r="BW11" i="29"/>
  <c r="BN11" i="29"/>
  <c r="BE11" i="29"/>
  <c r="AV11" i="29"/>
  <c r="AM11" i="29"/>
  <c r="AD11" i="29"/>
  <c r="U11" i="29"/>
  <c r="L11" i="29"/>
  <c r="DP10" i="29"/>
  <c r="DG10" i="29"/>
  <c r="CX10" i="29"/>
  <c r="CO10" i="29"/>
  <c r="CF10" i="29"/>
  <c r="BW10" i="29"/>
  <c r="BN10" i="29"/>
  <c r="BE10" i="29"/>
  <c r="AV10" i="29"/>
  <c r="AM10" i="29"/>
  <c r="AD10" i="29"/>
  <c r="U10" i="29"/>
  <c r="L10" i="29"/>
  <c r="DP9" i="29"/>
  <c r="DG9" i="29"/>
  <c r="CX9" i="29"/>
  <c r="CO9" i="29"/>
  <c r="CF9" i="29"/>
  <c r="BW9" i="29"/>
  <c r="BN9" i="29"/>
  <c r="BE9" i="29"/>
  <c r="AV9" i="29"/>
  <c r="AM9" i="29"/>
  <c r="AD9" i="29"/>
  <c r="U9" i="29"/>
  <c r="L9" i="29"/>
  <c r="DP8" i="29"/>
  <c r="DG8" i="29"/>
  <c r="CX8" i="29"/>
  <c r="CO8" i="29"/>
  <c r="CF8" i="29"/>
  <c r="BW8" i="29"/>
  <c r="BN8" i="29"/>
  <c r="BE8" i="29"/>
  <c r="AV8" i="29"/>
  <c r="AM8" i="29"/>
  <c r="AD8" i="29"/>
  <c r="U8" i="29"/>
  <c r="L8" i="29"/>
  <c r="DP7" i="29"/>
  <c r="DG7" i="29"/>
  <c r="CX7" i="29"/>
  <c r="CO7" i="29"/>
  <c r="CF7" i="29"/>
  <c r="BW7" i="29"/>
  <c r="BN7" i="29"/>
  <c r="BE7" i="29"/>
  <c r="AV7" i="29"/>
  <c r="AM7" i="29"/>
  <c r="AD7" i="29"/>
  <c r="U7" i="29"/>
  <c r="L7" i="29"/>
  <c r="DP6" i="29"/>
  <c r="DG6" i="29"/>
  <c r="CX6" i="29"/>
  <c r="CO6" i="29"/>
  <c r="CF6" i="29"/>
  <c r="BW6" i="29"/>
  <c r="BN6" i="29"/>
  <c r="BE6" i="29"/>
  <c r="AV6" i="29"/>
  <c r="AM6" i="29"/>
  <c r="AD6" i="29"/>
  <c r="U6" i="29"/>
  <c r="L6" i="29"/>
  <c r="DP5" i="29"/>
  <c r="DG5" i="29"/>
  <c r="CX5" i="29"/>
  <c r="CO5" i="29"/>
  <c r="CF5" i="29"/>
  <c r="BW5" i="29"/>
  <c r="BN5" i="29"/>
  <c r="BE5" i="29"/>
  <c r="AV5" i="29"/>
  <c r="AM5" i="29"/>
  <c r="AD5" i="29"/>
  <c r="U5" i="29"/>
  <c r="L5" i="29"/>
  <c r="DP4" i="29"/>
  <c r="DG4" i="29"/>
  <c r="CX4" i="29"/>
  <c r="CO4" i="29"/>
  <c r="CF4" i="29"/>
  <c r="BW4" i="29"/>
  <c r="BN4" i="29"/>
  <c r="BE4" i="29"/>
  <c r="AV4" i="29"/>
  <c r="AM4" i="29"/>
  <c r="AD4" i="29"/>
  <c r="U4" i="29"/>
  <c r="L4" i="29"/>
  <c r="S64" i="15"/>
  <c r="R64" i="15"/>
  <c r="Q64" i="15"/>
  <c r="O64" i="15"/>
  <c r="N64" i="15"/>
  <c r="M64" i="15"/>
  <c r="L64" i="15"/>
  <c r="K64" i="15"/>
  <c r="I64" i="15"/>
  <c r="H64" i="15"/>
  <c r="G64" i="15"/>
  <c r="F64" i="15"/>
  <c r="E64" i="15"/>
  <c r="D64" i="15"/>
  <c r="C64" i="15"/>
  <c r="S63" i="15"/>
  <c r="R63" i="15"/>
  <c r="Q63" i="15"/>
  <c r="O63" i="15"/>
  <c r="N63" i="15"/>
  <c r="M63" i="15"/>
  <c r="L63" i="15"/>
  <c r="K63" i="15"/>
  <c r="I63" i="15"/>
  <c r="H63" i="15"/>
  <c r="G63" i="15"/>
  <c r="F63" i="15"/>
  <c r="E63" i="15"/>
  <c r="D63" i="15"/>
  <c r="C63" i="15"/>
  <c r="S62" i="15"/>
  <c r="R62" i="15"/>
  <c r="Q62" i="15"/>
  <c r="O62" i="15"/>
  <c r="N62" i="15"/>
  <c r="M62" i="15"/>
  <c r="L62" i="15"/>
  <c r="K62" i="15"/>
  <c r="I62" i="15"/>
  <c r="H62" i="15"/>
  <c r="G62" i="15"/>
  <c r="F62" i="15"/>
  <c r="E62" i="15"/>
  <c r="D62" i="15"/>
  <c r="C62" i="15"/>
  <c r="S61" i="15"/>
  <c r="R61" i="15"/>
  <c r="Q61" i="15"/>
  <c r="O61" i="15"/>
  <c r="N61" i="15"/>
  <c r="M61" i="15"/>
  <c r="L61" i="15"/>
  <c r="K61" i="15"/>
  <c r="I61" i="15"/>
  <c r="H61" i="15"/>
  <c r="G61" i="15"/>
  <c r="F61" i="15"/>
  <c r="E61" i="15"/>
  <c r="D61" i="15"/>
  <c r="C61" i="15"/>
  <c r="S60" i="15"/>
  <c r="R60" i="15"/>
  <c r="Q60" i="15"/>
  <c r="O60" i="15"/>
  <c r="N60" i="15"/>
  <c r="M60" i="15"/>
  <c r="L60" i="15"/>
  <c r="K60" i="15"/>
  <c r="I60" i="15"/>
  <c r="H60" i="15"/>
  <c r="G60" i="15"/>
  <c r="F60" i="15"/>
  <c r="E60" i="15"/>
  <c r="D60" i="15"/>
  <c r="C60" i="15"/>
  <c r="S59" i="15"/>
  <c r="R59" i="15"/>
  <c r="Q59" i="15"/>
  <c r="O59" i="15"/>
  <c r="N59" i="15"/>
  <c r="M59" i="15"/>
  <c r="L59" i="15"/>
  <c r="K59" i="15"/>
  <c r="I59" i="15"/>
  <c r="H59" i="15"/>
  <c r="G59" i="15"/>
  <c r="F59" i="15"/>
  <c r="E59" i="15"/>
  <c r="D59" i="15"/>
  <c r="C59" i="15"/>
  <c r="S58" i="15"/>
  <c r="R58" i="15"/>
  <c r="Q58" i="15"/>
  <c r="O58" i="15"/>
  <c r="N58" i="15"/>
  <c r="M58" i="15"/>
  <c r="L58" i="15"/>
  <c r="K58" i="15"/>
  <c r="I58" i="15"/>
  <c r="H58" i="15"/>
  <c r="G58" i="15"/>
  <c r="F58" i="15"/>
  <c r="E58" i="15"/>
  <c r="D58" i="15"/>
  <c r="C58" i="15"/>
  <c r="S57" i="15"/>
  <c r="R57" i="15"/>
  <c r="Q57" i="15"/>
  <c r="O57" i="15"/>
  <c r="N57" i="15"/>
  <c r="M57" i="15"/>
  <c r="L57" i="15"/>
  <c r="K57" i="15"/>
  <c r="I57" i="15"/>
  <c r="H57" i="15"/>
  <c r="G57" i="15"/>
  <c r="F57" i="15"/>
  <c r="E57" i="15"/>
  <c r="D57" i="15"/>
  <c r="C57" i="15"/>
  <c r="S56" i="15"/>
  <c r="R56" i="15"/>
  <c r="Q56" i="15"/>
  <c r="O56" i="15"/>
  <c r="N56" i="15"/>
  <c r="M56" i="15"/>
  <c r="L56" i="15"/>
  <c r="K56" i="15"/>
  <c r="I56" i="15"/>
  <c r="H56" i="15"/>
  <c r="G56" i="15"/>
  <c r="F56" i="15"/>
  <c r="E56" i="15"/>
  <c r="D56" i="15"/>
  <c r="C56" i="15"/>
  <c r="S55" i="15"/>
  <c r="R55" i="15"/>
  <c r="Q55" i="15"/>
  <c r="O55" i="15"/>
  <c r="N55" i="15"/>
  <c r="M55" i="15"/>
  <c r="L55" i="15"/>
  <c r="K55" i="15"/>
  <c r="I55" i="15"/>
  <c r="H55" i="15"/>
  <c r="G55" i="15"/>
  <c r="F55" i="15"/>
  <c r="E55" i="15"/>
  <c r="D55" i="15"/>
  <c r="C55" i="15"/>
  <c r="S54" i="15"/>
  <c r="R54" i="15"/>
  <c r="Q54" i="15"/>
  <c r="O54" i="15"/>
  <c r="N54" i="15"/>
  <c r="M54" i="15"/>
  <c r="L54" i="15"/>
  <c r="K54" i="15"/>
  <c r="I54" i="15"/>
  <c r="H54" i="15"/>
  <c r="G54" i="15"/>
  <c r="F54" i="15"/>
  <c r="E54" i="15"/>
  <c r="D54" i="15"/>
  <c r="C54" i="15"/>
  <c r="S53" i="15"/>
  <c r="R53" i="15"/>
  <c r="Q53" i="15"/>
  <c r="O53" i="15"/>
  <c r="N53" i="15"/>
  <c r="M53" i="15"/>
  <c r="L53" i="15"/>
  <c r="K53" i="15"/>
  <c r="I53" i="15"/>
  <c r="H53" i="15"/>
  <c r="G53" i="15"/>
  <c r="F53" i="15"/>
  <c r="E53" i="15"/>
  <c r="D53" i="15"/>
  <c r="C53" i="15"/>
  <c r="S52" i="15"/>
  <c r="R52" i="15"/>
  <c r="Q52" i="15"/>
  <c r="O52" i="15"/>
  <c r="N52" i="15"/>
  <c r="M52" i="15"/>
  <c r="L52" i="15"/>
  <c r="K52" i="15"/>
  <c r="I52" i="15"/>
  <c r="H52" i="15"/>
  <c r="G52" i="15"/>
  <c r="F52" i="15"/>
  <c r="E52" i="15"/>
  <c r="D52" i="15"/>
  <c r="C52" i="15"/>
  <c r="S51" i="15"/>
  <c r="R51" i="15"/>
  <c r="Q51" i="15"/>
  <c r="O51" i="15"/>
  <c r="N51" i="15"/>
  <c r="M51" i="15"/>
  <c r="L51" i="15"/>
  <c r="K51" i="15"/>
  <c r="I51" i="15"/>
  <c r="H51" i="15"/>
  <c r="G51" i="15"/>
  <c r="F51" i="15"/>
  <c r="E51" i="15"/>
  <c r="D51" i="15"/>
  <c r="C51" i="15"/>
  <c r="S50" i="15"/>
  <c r="R50" i="15"/>
  <c r="Q50" i="15"/>
  <c r="O50" i="15"/>
  <c r="N50" i="15"/>
  <c r="M50" i="15"/>
  <c r="L50" i="15"/>
  <c r="K50" i="15"/>
  <c r="I50" i="15"/>
  <c r="H50" i="15"/>
  <c r="G50" i="15"/>
  <c r="F50" i="15"/>
  <c r="E50" i="15"/>
  <c r="D50" i="15"/>
  <c r="C50" i="15"/>
  <c r="S49" i="15"/>
  <c r="R49" i="15"/>
  <c r="Q49" i="15"/>
  <c r="O49" i="15"/>
  <c r="N49" i="15"/>
  <c r="M49" i="15"/>
  <c r="L49" i="15"/>
  <c r="K49" i="15"/>
  <c r="I49" i="15"/>
  <c r="H49" i="15"/>
  <c r="G49" i="15"/>
  <c r="F49" i="15"/>
  <c r="E49" i="15"/>
  <c r="D49" i="15"/>
  <c r="C49" i="15"/>
  <c r="S48" i="15"/>
  <c r="R48" i="15"/>
  <c r="Q48" i="15"/>
  <c r="O48" i="15"/>
  <c r="N48" i="15"/>
  <c r="M48" i="15"/>
  <c r="L48" i="15"/>
  <c r="K48" i="15"/>
  <c r="I48" i="15"/>
  <c r="H48" i="15"/>
  <c r="G48" i="15"/>
  <c r="F48" i="15"/>
  <c r="E48" i="15"/>
  <c r="D48" i="15"/>
  <c r="C48" i="15"/>
  <c r="S47" i="15"/>
  <c r="R47" i="15"/>
  <c r="Q47" i="15"/>
  <c r="O47" i="15"/>
  <c r="N47" i="15"/>
  <c r="M47" i="15"/>
  <c r="L47" i="15"/>
  <c r="K47" i="15"/>
  <c r="I47" i="15"/>
  <c r="H47" i="15"/>
  <c r="G47" i="15"/>
  <c r="F47" i="15"/>
  <c r="E47" i="15"/>
  <c r="D47" i="15"/>
  <c r="C47" i="15"/>
  <c r="S46" i="15"/>
  <c r="R46" i="15"/>
  <c r="Q46" i="15"/>
  <c r="O46" i="15"/>
  <c r="N46" i="15"/>
  <c r="M46" i="15"/>
  <c r="L46" i="15"/>
  <c r="K46" i="15"/>
  <c r="I46" i="15"/>
  <c r="H46" i="15"/>
  <c r="G46" i="15"/>
  <c r="F46" i="15"/>
  <c r="E46" i="15"/>
  <c r="D46" i="15"/>
  <c r="C46" i="15"/>
  <c r="S45" i="15"/>
  <c r="R45" i="15"/>
  <c r="Q45" i="15"/>
  <c r="O45" i="15"/>
  <c r="N45" i="15"/>
  <c r="M45" i="15"/>
  <c r="L45" i="15"/>
  <c r="K45" i="15"/>
  <c r="I45" i="15"/>
  <c r="H45" i="15"/>
  <c r="G45" i="15"/>
  <c r="F45" i="15"/>
  <c r="E45" i="15"/>
  <c r="D45" i="15"/>
  <c r="C45" i="15"/>
  <c r="S44" i="15"/>
  <c r="R44" i="15"/>
  <c r="Q44" i="15"/>
  <c r="O44" i="15"/>
  <c r="N44" i="15"/>
  <c r="M44" i="15"/>
  <c r="L44" i="15"/>
  <c r="K44" i="15"/>
  <c r="I44" i="15"/>
  <c r="H44" i="15"/>
  <c r="G44" i="15"/>
  <c r="F44" i="15"/>
  <c r="E44" i="15"/>
  <c r="D44" i="15"/>
  <c r="C44" i="15"/>
  <c r="S43" i="15"/>
  <c r="R43" i="15"/>
  <c r="Q43" i="15"/>
  <c r="O43" i="15"/>
  <c r="N43" i="15"/>
  <c r="M43" i="15"/>
  <c r="L43" i="15"/>
  <c r="K43" i="15"/>
  <c r="I43" i="15"/>
  <c r="H43" i="15"/>
  <c r="G43" i="15"/>
  <c r="F43" i="15"/>
  <c r="E43" i="15"/>
  <c r="D43" i="15"/>
  <c r="C43" i="15"/>
  <c r="S42" i="15"/>
  <c r="R42" i="15"/>
  <c r="Q42" i="15"/>
  <c r="O42" i="15"/>
  <c r="N42" i="15"/>
  <c r="M42" i="15"/>
  <c r="L42" i="15"/>
  <c r="K42" i="15"/>
  <c r="I42" i="15"/>
  <c r="H42" i="15"/>
  <c r="G42" i="15"/>
  <c r="F42" i="15"/>
  <c r="E42" i="15"/>
  <c r="D42" i="15"/>
  <c r="C42" i="15"/>
  <c r="S41" i="15"/>
  <c r="R41" i="15"/>
  <c r="Q41" i="15"/>
  <c r="O41" i="15"/>
  <c r="N41" i="15"/>
  <c r="M41" i="15"/>
  <c r="L41" i="15"/>
  <c r="K41" i="15"/>
  <c r="I41" i="15"/>
  <c r="H41" i="15"/>
  <c r="G41" i="15"/>
  <c r="F41" i="15"/>
  <c r="E41" i="15"/>
  <c r="D41" i="15"/>
  <c r="C41" i="15"/>
  <c r="S40" i="15"/>
  <c r="R40" i="15"/>
  <c r="Q40" i="15"/>
  <c r="O40" i="15"/>
  <c r="N40" i="15"/>
  <c r="M40" i="15"/>
  <c r="L40" i="15"/>
  <c r="K40" i="15"/>
  <c r="I40" i="15"/>
  <c r="H40" i="15"/>
  <c r="G40" i="15"/>
  <c r="F40" i="15"/>
  <c r="E40" i="15"/>
  <c r="D40" i="15"/>
  <c r="C40" i="15"/>
  <c r="S39" i="15"/>
  <c r="R39" i="15"/>
  <c r="Q39" i="15"/>
  <c r="O39" i="15"/>
  <c r="N39" i="15"/>
  <c r="M39" i="15"/>
  <c r="L39" i="15"/>
  <c r="K39" i="15"/>
  <c r="I39" i="15"/>
  <c r="H39" i="15"/>
  <c r="G39" i="15"/>
  <c r="F39" i="15"/>
  <c r="E39" i="15"/>
  <c r="D39" i="15"/>
  <c r="C39" i="15"/>
  <c r="S38" i="15"/>
  <c r="R38" i="15"/>
  <c r="Q38" i="15"/>
  <c r="O38" i="15"/>
  <c r="N38" i="15"/>
  <c r="M38" i="15"/>
  <c r="L38" i="15"/>
  <c r="K38" i="15"/>
  <c r="I38" i="15"/>
  <c r="H38" i="15"/>
  <c r="G38" i="15"/>
  <c r="F38" i="15"/>
  <c r="E38" i="15"/>
  <c r="D38" i="15"/>
  <c r="C38" i="15"/>
  <c r="S37" i="15"/>
  <c r="R37" i="15"/>
  <c r="Q37" i="15"/>
  <c r="O37" i="15"/>
  <c r="N37" i="15"/>
  <c r="M37" i="15"/>
  <c r="L37" i="15"/>
  <c r="K37" i="15"/>
  <c r="I37" i="15"/>
  <c r="H37" i="15"/>
  <c r="G37" i="15"/>
  <c r="F37" i="15"/>
  <c r="E37" i="15"/>
  <c r="D37" i="15"/>
  <c r="C37" i="15"/>
  <c r="S36" i="15"/>
  <c r="R36" i="15"/>
  <c r="Q36" i="15"/>
  <c r="O36" i="15"/>
  <c r="N36" i="15"/>
  <c r="M36" i="15"/>
  <c r="L36" i="15"/>
  <c r="K36" i="15"/>
  <c r="I36" i="15"/>
  <c r="H36" i="15"/>
  <c r="G36" i="15"/>
  <c r="F36" i="15"/>
  <c r="E36" i="15"/>
  <c r="D36" i="15"/>
  <c r="C36" i="15"/>
  <c r="S35" i="15"/>
  <c r="R35" i="15"/>
  <c r="Q35" i="15"/>
  <c r="O35" i="15"/>
  <c r="N35" i="15"/>
  <c r="M35" i="15"/>
  <c r="L35" i="15"/>
  <c r="K35" i="15"/>
  <c r="I35" i="15"/>
  <c r="H35" i="15"/>
  <c r="G35" i="15"/>
  <c r="F35" i="15"/>
  <c r="E35" i="15"/>
  <c r="D35" i="15"/>
  <c r="C35" i="15"/>
  <c r="S34" i="15"/>
  <c r="R34" i="15"/>
  <c r="Q34" i="15"/>
  <c r="O34" i="15"/>
  <c r="N34" i="15"/>
  <c r="M34" i="15"/>
  <c r="L34" i="15"/>
  <c r="K34" i="15"/>
  <c r="I34" i="15"/>
  <c r="H34" i="15"/>
  <c r="G34" i="15"/>
  <c r="F34" i="15"/>
  <c r="E34" i="15"/>
  <c r="D34" i="15"/>
  <c r="C34" i="15"/>
  <c r="S33" i="15"/>
  <c r="R33" i="15"/>
  <c r="Q33" i="15"/>
  <c r="O33" i="15"/>
  <c r="N33" i="15"/>
  <c r="M33" i="15"/>
  <c r="L33" i="15"/>
  <c r="K33" i="15"/>
  <c r="I33" i="15"/>
  <c r="H33" i="15"/>
  <c r="G33" i="15"/>
  <c r="F33" i="15"/>
  <c r="E33" i="15"/>
  <c r="D33" i="15"/>
  <c r="C33" i="15"/>
  <c r="S32" i="15"/>
  <c r="R32" i="15"/>
  <c r="Q32" i="15"/>
  <c r="O32" i="15"/>
  <c r="N32" i="15"/>
  <c r="M32" i="15"/>
  <c r="L32" i="15"/>
  <c r="K32" i="15"/>
  <c r="I32" i="15"/>
  <c r="H32" i="15"/>
  <c r="G32" i="15"/>
  <c r="F32" i="15"/>
  <c r="E32" i="15"/>
  <c r="D32" i="15"/>
  <c r="C32" i="15"/>
  <c r="S31" i="15"/>
  <c r="R31" i="15"/>
  <c r="Q31" i="15"/>
  <c r="O31" i="15"/>
  <c r="N31" i="15"/>
  <c r="M31" i="15"/>
  <c r="L31" i="15"/>
  <c r="K31" i="15"/>
  <c r="I31" i="15"/>
  <c r="H31" i="15"/>
  <c r="G31" i="15"/>
  <c r="F31" i="15"/>
  <c r="E31" i="15"/>
  <c r="D31" i="15"/>
  <c r="C31" i="15"/>
  <c r="S30" i="15"/>
  <c r="R30" i="15"/>
  <c r="Q30" i="15"/>
  <c r="O30" i="15"/>
  <c r="N30" i="15"/>
  <c r="M30" i="15"/>
  <c r="L30" i="15"/>
  <c r="K30" i="15"/>
  <c r="I30" i="15"/>
  <c r="H30" i="15"/>
  <c r="G30" i="15"/>
  <c r="F30" i="15"/>
  <c r="E30" i="15"/>
  <c r="D30" i="15"/>
  <c r="C30" i="15"/>
  <c r="S29" i="15"/>
  <c r="R29" i="15"/>
  <c r="Q29" i="15"/>
  <c r="O29" i="15"/>
  <c r="N29" i="15"/>
  <c r="M29" i="15"/>
  <c r="L29" i="15"/>
  <c r="K29" i="15"/>
  <c r="I29" i="15"/>
  <c r="H29" i="15"/>
  <c r="G29" i="15"/>
  <c r="F29" i="15"/>
  <c r="E29" i="15"/>
  <c r="D29" i="15"/>
  <c r="C29" i="15"/>
  <c r="S28" i="15"/>
  <c r="R28" i="15"/>
  <c r="Q28" i="15"/>
  <c r="O28" i="15"/>
  <c r="N28" i="15"/>
  <c r="M28" i="15"/>
  <c r="L28" i="15"/>
  <c r="K28" i="15"/>
  <c r="I28" i="15"/>
  <c r="H28" i="15"/>
  <c r="G28" i="15"/>
  <c r="F28" i="15"/>
  <c r="E28" i="15"/>
  <c r="D28" i="15"/>
  <c r="C28" i="15"/>
  <c r="S27" i="15"/>
  <c r="R27" i="15"/>
  <c r="Q27" i="15"/>
  <c r="O27" i="15"/>
  <c r="N27" i="15"/>
  <c r="M27" i="15"/>
  <c r="L27" i="15"/>
  <c r="K27" i="15"/>
  <c r="I27" i="15"/>
  <c r="H27" i="15"/>
  <c r="G27" i="15"/>
  <c r="F27" i="15"/>
  <c r="E27" i="15"/>
  <c r="D27" i="15"/>
  <c r="C27" i="15"/>
  <c r="S26" i="15"/>
  <c r="R26" i="15"/>
  <c r="Q26" i="15"/>
  <c r="O26" i="15"/>
  <c r="N26" i="15"/>
  <c r="M26" i="15"/>
  <c r="L26" i="15"/>
  <c r="K26" i="15"/>
  <c r="I26" i="15"/>
  <c r="H26" i="15"/>
  <c r="G26" i="15"/>
  <c r="F26" i="15"/>
  <c r="E26" i="15"/>
  <c r="D26" i="15"/>
  <c r="C26" i="15"/>
  <c r="S25" i="15"/>
  <c r="R25" i="15"/>
  <c r="Q25" i="15"/>
  <c r="O25" i="15"/>
  <c r="N25" i="15"/>
  <c r="M25" i="15"/>
  <c r="L25" i="15"/>
  <c r="K25" i="15"/>
  <c r="I25" i="15"/>
  <c r="H25" i="15"/>
  <c r="G25" i="15"/>
  <c r="F25" i="15"/>
  <c r="E25" i="15"/>
  <c r="D25" i="15"/>
  <c r="C25" i="15"/>
  <c r="S24" i="15"/>
  <c r="R24" i="15"/>
  <c r="Q24" i="15"/>
  <c r="O24" i="15"/>
  <c r="N24" i="15"/>
  <c r="M24" i="15"/>
  <c r="L24" i="15"/>
  <c r="K24" i="15"/>
  <c r="I24" i="15"/>
  <c r="H24" i="15"/>
  <c r="G24" i="15"/>
  <c r="F24" i="15"/>
  <c r="E24" i="15"/>
  <c r="D24" i="15"/>
  <c r="C24" i="15"/>
  <c r="S23" i="15"/>
  <c r="R23" i="15"/>
  <c r="Q23" i="15"/>
  <c r="O23" i="15"/>
  <c r="N23" i="15"/>
  <c r="M23" i="15"/>
  <c r="L23" i="15"/>
  <c r="K23" i="15"/>
  <c r="I23" i="15"/>
  <c r="H23" i="15"/>
  <c r="G23" i="15"/>
  <c r="F23" i="15"/>
  <c r="E23" i="15"/>
  <c r="D23" i="15"/>
  <c r="C23" i="15"/>
  <c r="S22" i="15"/>
  <c r="R22" i="15"/>
  <c r="Q22" i="15"/>
  <c r="O22" i="15"/>
  <c r="N22" i="15"/>
  <c r="M22" i="15"/>
  <c r="L22" i="15"/>
  <c r="K22" i="15"/>
  <c r="I22" i="15"/>
  <c r="H22" i="15"/>
  <c r="G22" i="15"/>
  <c r="F22" i="15"/>
  <c r="E22" i="15"/>
  <c r="D22" i="15"/>
  <c r="C22" i="15"/>
  <c r="S21" i="15"/>
  <c r="R21" i="15"/>
  <c r="Q21" i="15"/>
  <c r="O21" i="15"/>
  <c r="N21" i="15"/>
  <c r="M21" i="15"/>
  <c r="L21" i="15"/>
  <c r="K21" i="15"/>
  <c r="I21" i="15"/>
  <c r="H21" i="15"/>
  <c r="G21" i="15"/>
  <c r="F21" i="15"/>
  <c r="E21" i="15"/>
  <c r="D21" i="15"/>
  <c r="C21" i="15"/>
  <c r="S20" i="15"/>
  <c r="R20" i="15"/>
  <c r="Q20" i="15"/>
  <c r="O20" i="15"/>
  <c r="N20" i="15"/>
  <c r="M20" i="15"/>
  <c r="L20" i="15"/>
  <c r="K20" i="15"/>
  <c r="I20" i="15"/>
  <c r="H20" i="15"/>
  <c r="G20" i="15"/>
  <c r="F20" i="15"/>
  <c r="E20" i="15"/>
  <c r="D20" i="15"/>
  <c r="C20" i="15"/>
  <c r="S19" i="15"/>
  <c r="R19" i="15"/>
  <c r="Q19" i="15"/>
  <c r="O19" i="15"/>
  <c r="N19" i="15"/>
  <c r="M19" i="15"/>
  <c r="L19" i="15"/>
  <c r="K19" i="15"/>
  <c r="I19" i="15"/>
  <c r="H19" i="15"/>
  <c r="G19" i="15"/>
  <c r="F19" i="15"/>
  <c r="E19" i="15"/>
  <c r="D19" i="15"/>
  <c r="C19" i="15"/>
  <c r="S18" i="15"/>
  <c r="R18" i="15"/>
  <c r="Q18" i="15"/>
  <c r="O18" i="15"/>
  <c r="N18" i="15"/>
  <c r="M18" i="15"/>
  <c r="L18" i="15"/>
  <c r="K18" i="15"/>
  <c r="I18" i="15"/>
  <c r="H18" i="15"/>
  <c r="G18" i="15"/>
  <c r="F18" i="15"/>
  <c r="E18" i="15"/>
  <c r="D18" i="15"/>
  <c r="C18" i="15"/>
  <c r="S17" i="15"/>
  <c r="R17" i="15"/>
  <c r="Q17" i="15"/>
  <c r="O17" i="15"/>
  <c r="N17" i="15"/>
  <c r="M17" i="15"/>
  <c r="L17" i="15"/>
  <c r="K17" i="15"/>
  <c r="I17" i="15"/>
  <c r="H17" i="15"/>
  <c r="G17" i="15"/>
  <c r="F17" i="15"/>
  <c r="E17" i="15"/>
  <c r="D17" i="15"/>
  <c r="C17" i="15"/>
  <c r="S16" i="15"/>
  <c r="R16" i="15"/>
  <c r="Q16" i="15"/>
  <c r="O16" i="15"/>
  <c r="N16" i="15"/>
  <c r="M16" i="15"/>
  <c r="L16" i="15"/>
  <c r="K16" i="15"/>
  <c r="I16" i="15"/>
  <c r="H16" i="15"/>
  <c r="G16" i="15"/>
  <c r="F16" i="15"/>
  <c r="E16" i="15"/>
  <c r="D16" i="15"/>
  <c r="C16" i="15"/>
  <c r="S15" i="15"/>
  <c r="R15" i="15"/>
  <c r="Q15" i="15"/>
  <c r="O15" i="15"/>
  <c r="N15" i="15"/>
  <c r="M15" i="15"/>
  <c r="L15" i="15"/>
  <c r="K15" i="15"/>
  <c r="I15" i="15"/>
  <c r="H15" i="15"/>
  <c r="G15" i="15"/>
  <c r="F15" i="15"/>
  <c r="E15" i="15"/>
  <c r="D15" i="15"/>
  <c r="C15" i="15"/>
  <c r="S14" i="15"/>
  <c r="R14" i="15"/>
  <c r="Q14" i="15"/>
  <c r="O14" i="15"/>
  <c r="N14" i="15"/>
  <c r="M14" i="15"/>
  <c r="L14" i="15"/>
  <c r="K14" i="15"/>
  <c r="I14" i="15"/>
  <c r="H14" i="15"/>
  <c r="G14" i="15"/>
  <c r="F14" i="15"/>
  <c r="E14" i="15"/>
  <c r="D14" i="15"/>
  <c r="C14" i="15"/>
  <c r="S13" i="15"/>
  <c r="R13" i="15"/>
  <c r="Q13" i="15"/>
  <c r="O13" i="15"/>
  <c r="N13" i="15"/>
  <c r="M13" i="15"/>
  <c r="L13" i="15"/>
  <c r="K13" i="15"/>
  <c r="I13" i="15"/>
  <c r="H13" i="15"/>
  <c r="G13" i="15"/>
  <c r="F13" i="15"/>
  <c r="E13" i="15"/>
  <c r="D13" i="15"/>
  <c r="C13" i="15"/>
  <c r="S12" i="15"/>
  <c r="R12" i="15"/>
  <c r="Q12" i="15"/>
  <c r="O12" i="15"/>
  <c r="N12" i="15"/>
  <c r="M12" i="15"/>
  <c r="L12" i="15"/>
  <c r="K12" i="15"/>
  <c r="I12" i="15"/>
  <c r="H12" i="15"/>
  <c r="G12" i="15"/>
  <c r="F12" i="15"/>
  <c r="E12" i="15"/>
  <c r="D12" i="15"/>
  <c r="C12" i="15"/>
  <c r="S11" i="15"/>
  <c r="R11" i="15"/>
  <c r="Q11" i="15"/>
  <c r="O11" i="15"/>
  <c r="N11" i="15"/>
  <c r="M11" i="15"/>
  <c r="L11" i="15"/>
  <c r="K11" i="15"/>
  <c r="I11" i="15"/>
  <c r="H11" i="15"/>
  <c r="G11" i="15"/>
  <c r="F11" i="15"/>
  <c r="E11" i="15"/>
  <c r="D11" i="15"/>
  <c r="C11" i="15"/>
  <c r="S10" i="15"/>
  <c r="R10" i="15"/>
  <c r="Q10" i="15"/>
  <c r="O10" i="15"/>
  <c r="N10" i="15"/>
  <c r="M10" i="15"/>
  <c r="L10" i="15"/>
  <c r="K10" i="15"/>
  <c r="I10" i="15"/>
  <c r="H10" i="15"/>
  <c r="G10" i="15"/>
  <c r="F10" i="15"/>
  <c r="E10" i="15"/>
  <c r="D10" i="15"/>
  <c r="C10" i="15"/>
  <c r="S9" i="15"/>
  <c r="R9" i="15"/>
  <c r="Q9" i="15"/>
  <c r="O9" i="15"/>
  <c r="N9" i="15"/>
  <c r="M9" i="15"/>
  <c r="L9" i="15"/>
  <c r="K9" i="15"/>
  <c r="I9" i="15"/>
  <c r="H9" i="15"/>
  <c r="G9" i="15"/>
  <c r="F9" i="15"/>
  <c r="E9" i="15"/>
  <c r="D9" i="15"/>
  <c r="C9" i="15"/>
  <c r="S8" i="15"/>
  <c r="R8" i="15"/>
  <c r="Q8" i="15"/>
  <c r="O8" i="15"/>
  <c r="N8" i="15"/>
  <c r="M8" i="15"/>
  <c r="L8" i="15"/>
  <c r="K8" i="15"/>
  <c r="I8" i="15"/>
  <c r="H8" i="15"/>
  <c r="G8" i="15"/>
  <c r="F8" i="15"/>
  <c r="E8" i="15"/>
  <c r="D8" i="15"/>
  <c r="C8" i="15"/>
  <c r="S7" i="15"/>
  <c r="R7" i="15"/>
  <c r="Q7" i="15"/>
  <c r="O7" i="15"/>
  <c r="N7" i="15"/>
  <c r="M7" i="15"/>
  <c r="L7" i="15"/>
  <c r="K7" i="15"/>
  <c r="I7" i="15"/>
  <c r="H7" i="15"/>
  <c r="G7" i="15"/>
  <c r="F7" i="15"/>
  <c r="E7" i="15"/>
  <c r="D7" i="15"/>
  <c r="C7" i="15"/>
  <c r="S3" i="15"/>
  <c r="R3" i="15"/>
  <c r="Q3" i="15"/>
  <c r="O3" i="15"/>
  <c r="N3" i="15"/>
  <c r="M3" i="15"/>
  <c r="L3" i="15"/>
  <c r="K3" i="15"/>
  <c r="I3" i="15"/>
  <c r="H3" i="15"/>
  <c r="G3" i="15"/>
  <c r="F3" i="15"/>
  <c r="E3" i="15"/>
  <c r="D3" i="15"/>
  <c r="C3" i="15"/>
  <c r="D21" i="18" l="1"/>
  <c r="D20" i="18"/>
  <c r="D19" i="18"/>
  <c r="D17" i="18"/>
  <c r="D16" i="18"/>
  <c r="D15" i="18"/>
  <c r="D14" i="18"/>
  <c r="D13" i="18"/>
  <c r="D10" i="18"/>
  <c r="D9" i="18"/>
  <c r="D8" i="18"/>
  <c r="D7" i="18"/>
  <c r="D6" i="18"/>
  <c r="D5" i="18"/>
  <c r="C21" i="27"/>
  <c r="C20" i="27"/>
  <c r="C19" i="27"/>
  <c r="C18" i="27"/>
  <c r="C17" i="27"/>
  <c r="C16" i="27"/>
  <c r="C15" i="27"/>
  <c r="C14" i="27"/>
  <c r="C13" i="27"/>
  <c r="C12" i="27"/>
  <c r="B11" i="27"/>
  <c r="C11" i="27" s="1"/>
  <c r="C10" i="27"/>
  <c r="C9" i="27"/>
  <c r="C8" i="27"/>
  <c r="C7" i="27"/>
  <c r="B6" i="27"/>
  <c r="C6" i="27" s="1"/>
  <c r="C5" i="27"/>
  <c r="C70" i="20"/>
  <c r="D70" i="20"/>
  <c r="E70" i="20"/>
  <c r="F70" i="20"/>
  <c r="G70" i="20"/>
  <c r="H70" i="20"/>
  <c r="I70" i="20"/>
  <c r="J70" i="20"/>
  <c r="K70" i="20"/>
  <c r="L70" i="20"/>
  <c r="M70" i="20"/>
  <c r="N70" i="20"/>
  <c r="B2" i="4"/>
  <c r="C6" i="4"/>
  <c r="DB4" i="29" s="1"/>
  <c r="C7" i="4"/>
  <c r="DB15" i="29" s="1"/>
  <c r="C8" i="4"/>
  <c r="DB6" i="29" s="1"/>
  <c r="C9" i="4"/>
  <c r="DB9" i="29" s="1"/>
  <c r="C10" i="4"/>
  <c r="DB36" i="29" s="1"/>
  <c r="C11" i="4"/>
  <c r="DB11" i="29" s="1"/>
  <c r="C12" i="4"/>
  <c r="DB22" i="29" s="1"/>
  <c r="C13" i="4"/>
  <c r="DB30" i="29" s="1"/>
  <c r="C14" i="4"/>
  <c r="DB39" i="29" s="1"/>
  <c r="C15" i="4"/>
  <c r="DB32" i="29" s="1"/>
  <c r="C16" i="4"/>
  <c r="DB44" i="29" s="1"/>
  <c r="C17" i="4"/>
  <c r="DB43" i="29" s="1"/>
  <c r="C18" i="4"/>
  <c r="DB52" i="29" s="1"/>
  <c r="C19" i="4"/>
  <c r="DB16" i="29" s="1"/>
  <c r="C20" i="4"/>
  <c r="DB26" i="29" s="1"/>
  <c r="C21" i="4"/>
  <c r="DB33" i="29" s="1"/>
  <c r="C22" i="4"/>
  <c r="DB37" i="29" s="1"/>
  <c r="C23" i="4"/>
  <c r="DB5" i="29" s="1"/>
  <c r="C24" i="4"/>
  <c r="DB35" i="29" s="1"/>
  <c r="C25" i="4"/>
  <c r="DB8" i="29" s="1"/>
  <c r="C26" i="4"/>
  <c r="DB20" i="29" s="1"/>
  <c r="C27" i="4"/>
  <c r="DB51" i="29" s="1"/>
  <c r="C28" i="4"/>
  <c r="DB24" i="29" s="1"/>
  <c r="C29" i="4"/>
  <c r="DB12" i="29" s="1"/>
  <c r="C30" i="4"/>
  <c r="DB34" i="29" s="1"/>
  <c r="C31" i="4"/>
  <c r="DB31" i="29" s="1"/>
  <c r="C32" i="4"/>
  <c r="DB45" i="29" s="1"/>
  <c r="C33" i="4"/>
  <c r="DB47" i="29" s="1"/>
  <c r="C34" i="4"/>
  <c r="DB42" i="29" s="1"/>
  <c r="C35" i="4"/>
  <c r="DB41" i="29" s="1"/>
  <c r="C36" i="4"/>
  <c r="DB29" i="29" s="1"/>
  <c r="C37" i="4"/>
  <c r="DB17" i="29" s="1"/>
  <c r="C38" i="4"/>
  <c r="DB14" i="29" s="1"/>
  <c r="C39" i="4"/>
  <c r="DB19" i="29" s="1"/>
  <c r="C40" i="4"/>
  <c r="DB21" i="29" s="1"/>
  <c r="C41" i="4"/>
  <c r="DB13" i="29" s="1"/>
  <c r="C42" i="4"/>
  <c r="DB23" i="29" s="1"/>
  <c r="C43" i="4"/>
  <c r="DB59" i="29" s="1"/>
  <c r="C44" i="4"/>
  <c r="DB57" i="29" s="1"/>
  <c r="C45" i="4"/>
  <c r="DB56" i="29" s="1"/>
  <c r="C46" i="4"/>
  <c r="DB50" i="29" s="1"/>
  <c r="C47" i="4"/>
  <c r="DB10" i="29" s="1"/>
  <c r="C48" i="4"/>
  <c r="DB18" i="29" s="1"/>
  <c r="C49" i="4"/>
  <c r="DB46" i="29" s="1"/>
  <c r="C50" i="4"/>
  <c r="DB28" i="29" s="1"/>
  <c r="C51" i="4"/>
  <c r="DB58" i="29" s="1"/>
  <c r="C52" i="4"/>
  <c r="DB54" i="29" s="1"/>
  <c r="C53" i="4"/>
  <c r="DB40" i="29" s="1"/>
  <c r="C54" i="4"/>
  <c r="DB38" i="29" s="1"/>
  <c r="C55" i="4"/>
  <c r="DB49" i="29" s="1"/>
  <c r="C56" i="4"/>
  <c r="DB53" i="29" s="1"/>
  <c r="C57" i="4"/>
  <c r="DB27" i="29" s="1"/>
  <c r="C58" i="4"/>
  <c r="DB48" i="29" s="1"/>
  <c r="C59" i="4"/>
  <c r="DB7" i="29" s="1"/>
  <c r="C60" i="4"/>
  <c r="DB55" i="29" s="1"/>
  <c r="C61" i="4"/>
  <c r="DB60" i="29" s="1"/>
  <c r="C62" i="4"/>
  <c r="DB61" i="29" s="1"/>
  <c r="C63" i="4"/>
  <c r="DB25" i="29" s="1"/>
  <c r="I65" i="4"/>
  <c r="S42" i="1" s="1"/>
  <c r="N65" i="4"/>
  <c r="Q59" i="1" s="1"/>
  <c r="O65" i="4"/>
  <c r="P65" i="4"/>
  <c r="Q65" i="4"/>
  <c r="Q60" i="1" s="1"/>
  <c r="R65" i="4"/>
  <c r="Q61" i="1" s="1"/>
  <c r="S65" i="4"/>
  <c r="Q67" i="1" s="1"/>
  <c r="T65" i="4"/>
  <c r="U65" i="4"/>
  <c r="V65" i="4"/>
  <c r="W65" i="4"/>
  <c r="Q66" i="1" s="1"/>
  <c r="X65" i="4"/>
  <c r="Y65" i="4"/>
  <c r="Z65" i="4"/>
  <c r="AA65" i="4"/>
  <c r="Q65" i="1" s="1"/>
  <c r="AB65" i="4"/>
  <c r="Q64" i="1" s="1"/>
  <c r="AC65" i="4"/>
  <c r="Q63" i="1" s="1"/>
  <c r="AD65" i="4"/>
  <c r="AE65" i="4"/>
  <c r="Q62" i="1" s="1"/>
  <c r="AF65" i="4"/>
  <c r="AI65" i="4"/>
  <c r="AJ65" i="4"/>
  <c r="AK65" i="4"/>
  <c r="AL65" i="4"/>
  <c r="AM65" i="4"/>
  <c r="AN65" i="4"/>
  <c r="AO65" i="4"/>
  <c r="AP65" i="4"/>
  <c r="AQ65" i="4"/>
  <c r="AR65" i="4"/>
  <c r="AS65" i="4"/>
  <c r="AT65" i="4"/>
  <c r="AU65" i="4"/>
  <c r="AV65" i="4"/>
  <c r="I66" i="4"/>
  <c r="N66" i="4"/>
  <c r="O66" i="4"/>
  <c r="Q74" i="1" s="1"/>
  <c r="P66" i="4"/>
  <c r="Q66" i="4"/>
  <c r="R66" i="4"/>
  <c r="S66" i="4"/>
  <c r="T66" i="4"/>
  <c r="U66" i="4"/>
  <c r="V66" i="4"/>
  <c r="W66" i="4"/>
  <c r="X66" i="4"/>
  <c r="Y66" i="4"/>
  <c r="Z66" i="4"/>
  <c r="AA66" i="4"/>
  <c r="AB66" i="4"/>
  <c r="AC66" i="4"/>
  <c r="AD66" i="4"/>
  <c r="AE66" i="4"/>
  <c r="AF66" i="4"/>
  <c r="AI66" i="4"/>
  <c r="AJ66" i="4"/>
  <c r="AK66" i="4"/>
  <c r="AL66" i="4"/>
  <c r="AM66" i="4"/>
  <c r="AN66" i="4"/>
  <c r="AO66" i="4"/>
  <c r="Q75" i="1" s="1"/>
  <c r="AP66" i="4"/>
  <c r="AQ66" i="4"/>
  <c r="AR66" i="4"/>
  <c r="AS66" i="4"/>
  <c r="AT66" i="4"/>
  <c r="AU66" i="4"/>
  <c r="AV66" i="4"/>
  <c r="J71" i="4"/>
  <c r="J72" i="4" s="1"/>
  <c r="K71" i="4"/>
  <c r="K72" i="4" s="1"/>
  <c r="L71" i="4"/>
  <c r="L72" i="4" s="1"/>
  <c r="M71" i="4"/>
  <c r="M72" i="4" s="1"/>
  <c r="Y71" i="4"/>
  <c r="Q73" i="1" s="1"/>
  <c r="AG71" i="4"/>
  <c r="AG72" i="4" s="1"/>
  <c r="AH71" i="4"/>
  <c r="AH72" i="4" s="1"/>
  <c r="J73" i="4"/>
  <c r="J74" i="4" s="1"/>
  <c r="K73" i="4"/>
  <c r="K74" i="4" s="1"/>
  <c r="L73" i="4"/>
  <c r="L74" i="4" s="1"/>
  <c r="M73" i="4"/>
  <c r="M74" i="4" s="1"/>
  <c r="AG73" i="4"/>
  <c r="AG74" i="4" s="1"/>
  <c r="AH73" i="4"/>
  <c r="AH74" i="4" s="1"/>
  <c r="L5" i="8"/>
  <c r="T5" i="8"/>
  <c r="K6" i="8"/>
  <c r="L6" i="8"/>
  <c r="T6" i="8"/>
  <c r="K7" i="8"/>
  <c r="L7" i="8"/>
  <c r="T7" i="8"/>
  <c r="K8" i="8"/>
  <c r="L8" i="8"/>
  <c r="T8" i="8"/>
  <c r="K9" i="8"/>
  <c r="L9" i="8"/>
  <c r="T9" i="8"/>
  <c r="K10" i="8"/>
  <c r="L10" i="8"/>
  <c r="T10" i="8"/>
  <c r="K11" i="8"/>
  <c r="L11" i="8"/>
  <c r="T11" i="8"/>
  <c r="K12" i="8"/>
  <c r="L12" i="8"/>
  <c r="T12" i="8"/>
  <c r="K13" i="8"/>
  <c r="L13" i="8"/>
  <c r="T13" i="8"/>
  <c r="K14" i="8"/>
  <c r="L14" i="8"/>
  <c r="T14" i="8"/>
  <c r="K15" i="8"/>
  <c r="L15" i="8"/>
  <c r="T15" i="8"/>
  <c r="K16" i="8"/>
  <c r="L16" i="8"/>
  <c r="T16" i="8"/>
  <c r="K17" i="8"/>
  <c r="L17" i="8"/>
  <c r="T17" i="8"/>
  <c r="K18" i="8"/>
  <c r="L18" i="8"/>
  <c r="T18" i="8"/>
  <c r="K19" i="8"/>
  <c r="L19" i="8"/>
  <c r="T19" i="8"/>
  <c r="K20" i="8"/>
  <c r="L20" i="8"/>
  <c r="T20" i="8"/>
  <c r="K21" i="8"/>
  <c r="L21" i="8"/>
  <c r="T21" i="8"/>
  <c r="K22" i="8"/>
  <c r="L22" i="8"/>
  <c r="K23" i="8"/>
  <c r="L23" i="8"/>
  <c r="K24" i="8"/>
  <c r="L24" i="8"/>
  <c r="K25" i="8"/>
  <c r="L25" i="8"/>
  <c r="K26" i="8"/>
  <c r="L26" i="8"/>
  <c r="K27" i="8"/>
  <c r="L27" i="8"/>
  <c r="K28" i="8"/>
  <c r="L28" i="8"/>
  <c r="K29" i="8"/>
  <c r="L29" i="8"/>
  <c r="K30" i="8"/>
  <c r="L30" i="8"/>
  <c r="K31" i="8"/>
  <c r="L31" i="8"/>
  <c r="K32" i="8"/>
  <c r="L32" i="8"/>
  <c r="K33" i="8"/>
  <c r="L33" i="8"/>
  <c r="K34" i="8"/>
  <c r="L34" i="8"/>
  <c r="K35" i="8"/>
  <c r="L35" i="8"/>
  <c r="K36" i="8"/>
  <c r="L36" i="8"/>
  <c r="K37" i="8"/>
  <c r="L37" i="8"/>
  <c r="K38" i="8"/>
  <c r="L38" i="8"/>
  <c r="K39" i="8"/>
  <c r="L39" i="8"/>
  <c r="K40" i="8"/>
  <c r="L40" i="8"/>
  <c r="K41" i="8"/>
  <c r="L41" i="8"/>
  <c r="K42" i="8"/>
  <c r="L42" i="8"/>
  <c r="K43" i="8"/>
  <c r="L43" i="8"/>
  <c r="K44" i="8"/>
  <c r="L44" i="8"/>
  <c r="K45" i="8"/>
  <c r="L45" i="8"/>
  <c r="K46" i="8"/>
  <c r="L46" i="8"/>
  <c r="K47" i="8"/>
  <c r="L47" i="8"/>
  <c r="K48" i="8"/>
  <c r="L48" i="8"/>
  <c r="K49" i="8"/>
  <c r="L49" i="8"/>
  <c r="K50" i="8"/>
  <c r="L50" i="8"/>
  <c r="K51" i="8"/>
  <c r="L51" i="8"/>
  <c r="K52" i="8"/>
  <c r="L52" i="8"/>
  <c r="K53" i="8"/>
  <c r="L53" i="8"/>
  <c r="K54" i="8"/>
  <c r="L54" i="8"/>
  <c r="K55" i="8"/>
  <c r="L55" i="8"/>
  <c r="K56" i="8"/>
  <c r="L56" i="8"/>
  <c r="K57" i="8"/>
  <c r="L57" i="8"/>
  <c r="K58" i="8"/>
  <c r="L58" i="8"/>
  <c r="K59" i="8"/>
  <c r="L59" i="8"/>
  <c r="K60" i="8"/>
  <c r="L60" i="8"/>
  <c r="K61" i="8"/>
  <c r="L61" i="8"/>
  <c r="K62" i="8"/>
  <c r="L62" i="8"/>
  <c r="C5" i="18"/>
  <c r="U69" i="13" s="1"/>
  <c r="C6" i="18"/>
  <c r="V69" i="13" s="1"/>
  <c r="C7" i="18"/>
  <c r="W69" i="13" s="1"/>
  <c r="C8" i="18"/>
  <c r="C9" i="18"/>
  <c r="C10" i="18"/>
  <c r="Z69" i="13" s="1"/>
  <c r="C11" i="18"/>
  <c r="AA69" i="13" s="1"/>
  <c r="AB69" i="13"/>
  <c r="C13" i="18"/>
  <c r="AC69" i="13" s="1"/>
  <c r="C14" i="18"/>
  <c r="AD69" i="13" s="1"/>
  <c r="C15" i="18"/>
  <c r="AE69" i="13" s="1"/>
  <c r="C16" i="18"/>
  <c r="AF69" i="13" s="1"/>
  <c r="C17" i="18"/>
  <c r="AH69" i="13"/>
  <c r="C19" i="18"/>
  <c r="T15" i="1" s="1"/>
  <c r="C20" i="18"/>
  <c r="AJ69" i="13" s="1"/>
  <c r="C21" i="18"/>
  <c r="AK69" i="13" s="1"/>
  <c r="Q64" i="10"/>
  <c r="U6" i="13"/>
  <c r="V6" i="13"/>
  <c r="W6" i="13"/>
  <c r="X6" i="13"/>
  <c r="Y6" i="13"/>
  <c r="Z6" i="13"/>
  <c r="AA6" i="13"/>
  <c r="AB6" i="13"/>
  <c r="AC6" i="13"/>
  <c r="AD6" i="13"/>
  <c r="AE6" i="13"/>
  <c r="AF6" i="13"/>
  <c r="AG6" i="13"/>
  <c r="AH6" i="13"/>
  <c r="AI6" i="13"/>
  <c r="E17" i="1" s="1"/>
  <c r="I5" i="8" s="1"/>
  <c r="AJ6" i="13"/>
  <c r="AK6" i="13"/>
  <c r="AM6" i="13"/>
  <c r="AN6" i="13" s="1"/>
  <c r="AO6" i="13" s="1"/>
  <c r="U7" i="13"/>
  <c r="V7" i="13"/>
  <c r="W7" i="13"/>
  <c r="X7" i="13"/>
  <c r="Y7" i="13"/>
  <c r="Z7" i="13"/>
  <c r="AA7" i="13"/>
  <c r="AB7" i="13"/>
  <c r="AC7" i="13"/>
  <c r="AD7" i="13"/>
  <c r="AE7" i="13"/>
  <c r="AF7" i="13"/>
  <c r="AG7" i="13"/>
  <c r="AH7" i="13"/>
  <c r="AI7" i="13"/>
  <c r="AJ7" i="13"/>
  <c r="AK7" i="13"/>
  <c r="AM7" i="13"/>
  <c r="AN7" i="13" s="1"/>
  <c r="AO7" i="13" s="1"/>
  <c r="U8" i="13"/>
  <c r="V8" i="13"/>
  <c r="W8" i="13"/>
  <c r="X8" i="13"/>
  <c r="Y8" i="13"/>
  <c r="Z8" i="13"/>
  <c r="AA8" i="13"/>
  <c r="AB8" i="13"/>
  <c r="AC8" i="13"/>
  <c r="AD8" i="13"/>
  <c r="AE8" i="13"/>
  <c r="AF8" i="13"/>
  <c r="AG8" i="13"/>
  <c r="AH8" i="13"/>
  <c r="AI8" i="13"/>
  <c r="E19" i="1" s="1"/>
  <c r="I7" i="8" s="1"/>
  <c r="AJ8" i="13"/>
  <c r="AK8" i="13"/>
  <c r="AM8" i="13"/>
  <c r="AN8" i="13" s="1"/>
  <c r="AO8" i="13" s="1"/>
  <c r="U9" i="13"/>
  <c r="V9" i="13"/>
  <c r="W9" i="13"/>
  <c r="X9" i="13"/>
  <c r="Y9" i="13"/>
  <c r="Z9" i="13"/>
  <c r="AA9" i="13"/>
  <c r="AB9" i="13"/>
  <c r="AC9" i="13"/>
  <c r="AD9" i="13"/>
  <c r="AE9" i="13"/>
  <c r="AF9" i="13"/>
  <c r="AG9" i="13"/>
  <c r="AH9" i="13"/>
  <c r="AI9" i="13"/>
  <c r="E20" i="1" s="1"/>
  <c r="I8" i="8" s="1"/>
  <c r="AJ9" i="13"/>
  <c r="AK9" i="13"/>
  <c r="AM9" i="13"/>
  <c r="AN9" i="13" s="1"/>
  <c r="AO9" i="13" s="1"/>
  <c r="U10" i="13"/>
  <c r="V10" i="13"/>
  <c r="W10" i="13"/>
  <c r="X10" i="13"/>
  <c r="Y10" i="13"/>
  <c r="Z10" i="13"/>
  <c r="AA10" i="13"/>
  <c r="AB10" i="13"/>
  <c r="AC10" i="13"/>
  <c r="AD10" i="13"/>
  <c r="AE10" i="13"/>
  <c r="AF10" i="13"/>
  <c r="AG10" i="13"/>
  <c r="AH10" i="13"/>
  <c r="AI10" i="13"/>
  <c r="E21" i="1"/>
  <c r="B10" i="4" s="1"/>
  <c r="AJ10" i="13"/>
  <c r="AK10" i="13"/>
  <c r="AM10" i="13"/>
  <c r="U11" i="13"/>
  <c r="V11" i="13"/>
  <c r="W11" i="13"/>
  <c r="X11" i="13"/>
  <c r="Y11" i="13"/>
  <c r="Z11" i="13"/>
  <c r="AA11" i="13"/>
  <c r="AB11" i="13"/>
  <c r="AC11" i="13"/>
  <c r="AD11" i="13"/>
  <c r="AE11" i="13"/>
  <c r="AF11" i="13"/>
  <c r="AG11" i="13"/>
  <c r="AH11" i="13"/>
  <c r="AI11" i="13"/>
  <c r="E22" i="1" s="1"/>
  <c r="I10" i="8" s="1"/>
  <c r="AJ11" i="13"/>
  <c r="AK11" i="13"/>
  <c r="AM11" i="13"/>
  <c r="AN11" i="13" s="1"/>
  <c r="AO11" i="13" s="1"/>
  <c r="U12" i="13"/>
  <c r="V12" i="13"/>
  <c r="W12" i="13"/>
  <c r="X12" i="13"/>
  <c r="Y12" i="13"/>
  <c r="Z12" i="13"/>
  <c r="AA12" i="13"/>
  <c r="AB12" i="13"/>
  <c r="AC12" i="13"/>
  <c r="AD12" i="13"/>
  <c r="AE12" i="13"/>
  <c r="AF12" i="13"/>
  <c r="AG12" i="13"/>
  <c r="AH12" i="13"/>
  <c r="AI12" i="13"/>
  <c r="E23" i="1" s="1"/>
  <c r="AJ12" i="13"/>
  <c r="AK12" i="13"/>
  <c r="AM12" i="13"/>
  <c r="AN12" i="13" s="1"/>
  <c r="AO12" i="13" s="1"/>
  <c r="U13" i="13"/>
  <c r="V13" i="13"/>
  <c r="W13" i="13"/>
  <c r="X13" i="13"/>
  <c r="Y13" i="13"/>
  <c r="Z13" i="13"/>
  <c r="AA13" i="13"/>
  <c r="AB13" i="13"/>
  <c r="AC13" i="13"/>
  <c r="AD13" i="13"/>
  <c r="AE13" i="13"/>
  <c r="AF13" i="13"/>
  <c r="AG13" i="13"/>
  <c r="AH13" i="13"/>
  <c r="AI13" i="13"/>
  <c r="E24" i="1"/>
  <c r="B13" i="4" s="1"/>
  <c r="D13" i="4" s="1"/>
  <c r="G13" i="4" s="1"/>
  <c r="AJ13" i="13"/>
  <c r="AK13" i="13"/>
  <c r="AM13" i="13"/>
  <c r="AN13" i="13" s="1"/>
  <c r="AO13" i="13" s="1"/>
  <c r="U14" i="13"/>
  <c r="V14" i="13"/>
  <c r="W14" i="13"/>
  <c r="X14" i="13"/>
  <c r="Y14" i="13"/>
  <c r="Z14" i="13"/>
  <c r="AA14" i="13"/>
  <c r="AB14" i="13"/>
  <c r="AC14" i="13"/>
  <c r="AD14" i="13"/>
  <c r="AE14" i="13"/>
  <c r="AF14" i="13"/>
  <c r="AG14" i="13"/>
  <c r="AH14" i="13"/>
  <c r="AI14" i="13"/>
  <c r="E25" i="1"/>
  <c r="AJ14" i="13"/>
  <c r="AK14" i="13"/>
  <c r="AM14" i="13"/>
  <c r="AN14" i="13" s="1"/>
  <c r="AO14" i="13" s="1"/>
  <c r="U15" i="13"/>
  <c r="V15" i="13"/>
  <c r="W15" i="13"/>
  <c r="X15" i="13"/>
  <c r="Y15" i="13"/>
  <c r="Z15" i="13"/>
  <c r="AA15" i="13"/>
  <c r="AB15" i="13"/>
  <c r="AC15" i="13"/>
  <c r="AD15" i="13"/>
  <c r="AE15" i="13"/>
  <c r="AF15" i="13"/>
  <c r="AG15" i="13"/>
  <c r="AH15" i="13"/>
  <c r="AI15" i="13"/>
  <c r="E26" i="1"/>
  <c r="B15" i="4" s="1"/>
  <c r="AJ15" i="13"/>
  <c r="AK15" i="13"/>
  <c r="AM15" i="13"/>
  <c r="AN15" i="13" s="1"/>
  <c r="AO15" i="13" s="1"/>
  <c r="U16" i="13"/>
  <c r="V16" i="13"/>
  <c r="W16" i="13"/>
  <c r="X16" i="13"/>
  <c r="Y16" i="13"/>
  <c r="Z16" i="13"/>
  <c r="AA16" i="13"/>
  <c r="AB16" i="13"/>
  <c r="AC16" i="13"/>
  <c r="AD16" i="13"/>
  <c r="AE16" i="13"/>
  <c r="AF16" i="13"/>
  <c r="AG16" i="13"/>
  <c r="AH16" i="13"/>
  <c r="AI16" i="13"/>
  <c r="E27" i="1" s="1"/>
  <c r="I15" i="8" s="1"/>
  <c r="AJ16" i="13"/>
  <c r="AK16" i="13"/>
  <c r="AM16" i="13"/>
  <c r="AN16" i="13" s="1"/>
  <c r="AO16" i="13" s="1"/>
  <c r="U17" i="13"/>
  <c r="V17" i="13"/>
  <c r="W17" i="13"/>
  <c r="X17" i="13"/>
  <c r="Y17" i="13"/>
  <c r="Z17" i="13"/>
  <c r="AA17" i="13"/>
  <c r="AB17" i="13"/>
  <c r="AC17" i="13"/>
  <c r="AD17" i="13"/>
  <c r="AE17" i="13"/>
  <c r="AF17" i="13"/>
  <c r="AG17" i="13"/>
  <c r="AH17" i="13"/>
  <c r="AI17" i="13"/>
  <c r="E28" i="1" s="1"/>
  <c r="B17" i="4" s="1"/>
  <c r="AJ17" i="13"/>
  <c r="AK17" i="13"/>
  <c r="AM17" i="13"/>
  <c r="AN17" i="13" s="1"/>
  <c r="AO17" i="13" s="1"/>
  <c r="U18" i="13"/>
  <c r="V18" i="13"/>
  <c r="W18" i="13"/>
  <c r="X18" i="13"/>
  <c r="Y18" i="13"/>
  <c r="Z18" i="13"/>
  <c r="AA18" i="13"/>
  <c r="AB18" i="13"/>
  <c r="AC18" i="13"/>
  <c r="AD18" i="13"/>
  <c r="AE18" i="13"/>
  <c r="AF18" i="13"/>
  <c r="AG18" i="13"/>
  <c r="AH18" i="13"/>
  <c r="AI18" i="13"/>
  <c r="E29" i="1"/>
  <c r="AJ18" i="13"/>
  <c r="AK18" i="13"/>
  <c r="AM18" i="13"/>
  <c r="AN18" i="13" s="1"/>
  <c r="AO18" i="13" s="1"/>
  <c r="U19" i="13"/>
  <c r="V19" i="13"/>
  <c r="W19" i="13"/>
  <c r="X19" i="13"/>
  <c r="Y19" i="13"/>
  <c r="Z19" i="13"/>
  <c r="AA19" i="13"/>
  <c r="AB19" i="13"/>
  <c r="AC19" i="13"/>
  <c r="AD19" i="13"/>
  <c r="AE19" i="13"/>
  <c r="AF19" i="13"/>
  <c r="AG19" i="13"/>
  <c r="AH19" i="13"/>
  <c r="AI19" i="13"/>
  <c r="E30" i="1" s="1"/>
  <c r="B19" i="4" s="1"/>
  <c r="AJ19" i="13"/>
  <c r="AK19" i="13"/>
  <c r="AM19" i="13"/>
  <c r="AN19" i="13" s="1"/>
  <c r="AO19" i="13" s="1"/>
  <c r="U20" i="13"/>
  <c r="V20" i="13"/>
  <c r="W20" i="13"/>
  <c r="X20" i="13"/>
  <c r="Y20" i="13"/>
  <c r="Z20" i="13"/>
  <c r="AA20" i="13"/>
  <c r="AB20" i="13"/>
  <c r="AC20" i="13"/>
  <c r="AD20" i="13"/>
  <c r="AE20" i="13"/>
  <c r="AF20" i="13"/>
  <c r="AG20" i="13"/>
  <c r="AH20" i="13"/>
  <c r="AI20" i="13"/>
  <c r="E31" i="1" s="1"/>
  <c r="B20" i="4" s="1"/>
  <c r="AJ20" i="13"/>
  <c r="AK20" i="13"/>
  <c r="AM20" i="13"/>
  <c r="AN20" i="13" s="1"/>
  <c r="AO20" i="13" s="1"/>
  <c r="U21" i="13"/>
  <c r="V21" i="13"/>
  <c r="W21" i="13"/>
  <c r="X21" i="13"/>
  <c r="Y21" i="13"/>
  <c r="Z21" i="13"/>
  <c r="AA21" i="13"/>
  <c r="AB21" i="13"/>
  <c r="AC21" i="13"/>
  <c r="AD21" i="13"/>
  <c r="AE21" i="13"/>
  <c r="AF21" i="13"/>
  <c r="AG21" i="13"/>
  <c r="AH21" i="13"/>
  <c r="AI21" i="13"/>
  <c r="E32" i="1" s="1"/>
  <c r="B21" i="4" s="1"/>
  <c r="AJ21" i="13"/>
  <c r="AK21" i="13"/>
  <c r="AM21" i="13"/>
  <c r="AN21" i="13"/>
  <c r="AO21" i="13" s="1"/>
  <c r="U22" i="13"/>
  <c r="V22" i="13"/>
  <c r="W22" i="13"/>
  <c r="X22" i="13"/>
  <c r="Y22" i="13"/>
  <c r="Z22" i="13"/>
  <c r="AA22" i="13"/>
  <c r="AB22" i="13"/>
  <c r="AC22" i="13"/>
  <c r="AD22" i="13"/>
  <c r="AE22" i="13"/>
  <c r="AF22" i="13"/>
  <c r="AG22" i="13"/>
  <c r="AH22" i="13"/>
  <c r="AI22" i="13"/>
  <c r="E33" i="1" s="1"/>
  <c r="B22" i="4" s="1"/>
  <c r="AJ22" i="13"/>
  <c r="AK22" i="13"/>
  <c r="AM22" i="13"/>
  <c r="AN22" i="13" s="1"/>
  <c r="AO22" i="13" s="1"/>
  <c r="U23" i="13"/>
  <c r="V23" i="13"/>
  <c r="W23" i="13"/>
  <c r="X23" i="13"/>
  <c r="Y23" i="13"/>
  <c r="Z23" i="13"/>
  <c r="AA23" i="13"/>
  <c r="AB23" i="13"/>
  <c r="AC23" i="13"/>
  <c r="AD23" i="13"/>
  <c r="AE23" i="13"/>
  <c r="AF23" i="13"/>
  <c r="AG23" i="13"/>
  <c r="AH23" i="13"/>
  <c r="AI23" i="13"/>
  <c r="E34" i="1" s="1"/>
  <c r="B23" i="4" s="1"/>
  <c r="AJ23" i="13"/>
  <c r="AK23" i="13"/>
  <c r="AM23" i="13"/>
  <c r="AN23" i="13" s="1"/>
  <c r="AO23" i="13" s="1"/>
  <c r="U24" i="13"/>
  <c r="V24" i="13"/>
  <c r="W24" i="13"/>
  <c r="X24" i="13"/>
  <c r="Y24" i="13"/>
  <c r="Z24" i="13"/>
  <c r="AA24" i="13"/>
  <c r="AB24" i="13"/>
  <c r="AC24" i="13"/>
  <c r="AD24" i="13"/>
  <c r="AE24" i="13"/>
  <c r="AF24" i="13"/>
  <c r="AG24" i="13"/>
  <c r="AH24" i="13"/>
  <c r="AI24" i="13"/>
  <c r="E35" i="1" s="1"/>
  <c r="AJ24" i="13"/>
  <c r="AK24" i="13"/>
  <c r="AM24" i="13"/>
  <c r="AN24" i="13" s="1"/>
  <c r="AO24" i="13" s="1"/>
  <c r="U25" i="13"/>
  <c r="V25" i="13"/>
  <c r="W25" i="13"/>
  <c r="X25" i="13"/>
  <c r="Y25" i="13"/>
  <c r="Z25" i="13"/>
  <c r="AA25" i="13"/>
  <c r="AB25" i="13"/>
  <c r="AC25" i="13"/>
  <c r="AD25" i="13"/>
  <c r="AE25" i="13"/>
  <c r="AF25" i="13"/>
  <c r="AG25" i="13"/>
  <c r="AH25" i="13"/>
  <c r="AI25" i="13"/>
  <c r="E36" i="1" s="1"/>
  <c r="AJ25" i="13"/>
  <c r="AK25" i="13"/>
  <c r="AM25" i="13"/>
  <c r="AN25" i="13" s="1"/>
  <c r="AO25" i="13" s="1"/>
  <c r="U26" i="13"/>
  <c r="V26" i="13"/>
  <c r="W26" i="13"/>
  <c r="X26" i="13"/>
  <c r="Y26" i="13"/>
  <c r="Z26" i="13"/>
  <c r="AA26" i="13"/>
  <c r="AB26" i="13"/>
  <c r="AC26" i="13"/>
  <c r="AD26" i="13"/>
  <c r="AE26" i="13"/>
  <c r="AF26" i="13"/>
  <c r="AG26" i="13"/>
  <c r="AH26" i="13"/>
  <c r="AI26" i="13"/>
  <c r="E37" i="1" s="1"/>
  <c r="B26" i="4" s="1"/>
  <c r="AJ26" i="13"/>
  <c r="AK26" i="13"/>
  <c r="AM26" i="13"/>
  <c r="AN26" i="13" s="1"/>
  <c r="AO26" i="13" s="1"/>
  <c r="U27" i="13"/>
  <c r="V27" i="13"/>
  <c r="W27" i="13"/>
  <c r="X27" i="13"/>
  <c r="Y27" i="13"/>
  <c r="Z27" i="13"/>
  <c r="AA27" i="13"/>
  <c r="AB27" i="13"/>
  <c r="AC27" i="13"/>
  <c r="AD27" i="13"/>
  <c r="AE27" i="13"/>
  <c r="AF27" i="13"/>
  <c r="AG27" i="13"/>
  <c r="AH27" i="13"/>
  <c r="AI27" i="13"/>
  <c r="E38" i="1" s="1"/>
  <c r="B27" i="4" s="1"/>
  <c r="AJ27" i="13"/>
  <c r="AK27" i="13"/>
  <c r="AM27" i="13"/>
  <c r="AN27" i="13" s="1"/>
  <c r="AO27" i="13" s="1"/>
  <c r="C30" i="13"/>
  <c r="U30" i="13" s="1"/>
  <c r="D30" i="13"/>
  <c r="E30" i="13"/>
  <c r="W30" i="13"/>
  <c r="F30" i="13"/>
  <c r="X30" i="13" s="1"/>
  <c r="G30" i="13"/>
  <c r="Y30" i="13" s="1"/>
  <c r="H30" i="13"/>
  <c r="Z30" i="13" s="1"/>
  <c r="I30" i="13"/>
  <c r="AA30" i="13"/>
  <c r="J30" i="13"/>
  <c r="K30" i="13"/>
  <c r="AC30" i="13"/>
  <c r="L30" i="13"/>
  <c r="AD30" i="13" s="1"/>
  <c r="M30" i="13"/>
  <c r="AE30" i="13" s="1"/>
  <c r="N30" i="13"/>
  <c r="AF30" i="13" s="1"/>
  <c r="O30" i="13"/>
  <c r="AG30" i="13" s="1"/>
  <c r="P30" i="13"/>
  <c r="AH30" i="13" s="1"/>
  <c r="Q30" i="13"/>
  <c r="AI30" i="13" s="1"/>
  <c r="E39" i="1" s="1"/>
  <c r="R30" i="13"/>
  <c r="AJ30" i="13" s="1"/>
  <c r="S30" i="13"/>
  <c r="AK30" i="13" s="1"/>
  <c r="V30" i="13"/>
  <c r="AB30" i="13"/>
  <c r="AM30" i="13"/>
  <c r="AN30" i="13" s="1"/>
  <c r="AO30" i="13" s="1"/>
  <c r="U31" i="13"/>
  <c r="V31" i="13"/>
  <c r="W31" i="13"/>
  <c r="X31" i="13"/>
  <c r="Y31" i="13"/>
  <c r="Z31" i="13"/>
  <c r="AA31" i="13"/>
  <c r="AB31" i="13"/>
  <c r="AC31" i="13"/>
  <c r="AD31" i="13"/>
  <c r="AE31" i="13"/>
  <c r="AF31" i="13"/>
  <c r="AG31" i="13"/>
  <c r="AH31" i="13"/>
  <c r="AI31" i="13"/>
  <c r="E40" i="1" s="1"/>
  <c r="B29" i="4" s="1"/>
  <c r="AJ31" i="13"/>
  <c r="AK31" i="13"/>
  <c r="AM31" i="13"/>
  <c r="AN31" i="13" s="1"/>
  <c r="AO31" i="13" s="1"/>
  <c r="U32" i="13"/>
  <c r="V32" i="13"/>
  <c r="W32" i="13"/>
  <c r="X32" i="13"/>
  <c r="Y32" i="13"/>
  <c r="Z32" i="13"/>
  <c r="AA32" i="13"/>
  <c r="AB32" i="13"/>
  <c r="AC32" i="13"/>
  <c r="AD32" i="13"/>
  <c r="AE32" i="13"/>
  <c r="AF32" i="13"/>
  <c r="AG32" i="13"/>
  <c r="AH32" i="13"/>
  <c r="AI32" i="13"/>
  <c r="E41" i="1" s="1"/>
  <c r="I29" i="8" s="1"/>
  <c r="AJ32" i="13"/>
  <c r="AK32" i="13"/>
  <c r="AM32" i="13"/>
  <c r="AN32" i="13" s="1"/>
  <c r="AO32" i="13" s="1"/>
  <c r="U33" i="13"/>
  <c r="V33" i="13"/>
  <c r="W33" i="13"/>
  <c r="X33" i="13"/>
  <c r="Y33" i="13"/>
  <c r="Z33" i="13"/>
  <c r="AA33" i="13"/>
  <c r="AB33" i="13"/>
  <c r="AC33" i="13"/>
  <c r="AD33" i="13"/>
  <c r="AE33" i="13"/>
  <c r="AF33" i="13"/>
  <c r="AG33" i="13"/>
  <c r="AH33" i="13"/>
  <c r="AI33" i="13"/>
  <c r="E42" i="1"/>
  <c r="B31" i="4" s="1"/>
  <c r="AJ33" i="13"/>
  <c r="AK33" i="13"/>
  <c r="AM33" i="13"/>
  <c r="AN33" i="13" s="1"/>
  <c r="AO33" i="13" s="1"/>
  <c r="U34" i="13"/>
  <c r="V34" i="13"/>
  <c r="W34" i="13"/>
  <c r="X34" i="13"/>
  <c r="Y34" i="13"/>
  <c r="Z34" i="13"/>
  <c r="AA34" i="13"/>
  <c r="AB34" i="13"/>
  <c r="AC34" i="13"/>
  <c r="AD34" i="13"/>
  <c r="AE34" i="13"/>
  <c r="AF34" i="13"/>
  <c r="AG34" i="13"/>
  <c r="AH34" i="13"/>
  <c r="AI34" i="13"/>
  <c r="E43" i="1" s="1"/>
  <c r="AJ34" i="13"/>
  <c r="AK34" i="13"/>
  <c r="AM34" i="13"/>
  <c r="AN34" i="13" s="1"/>
  <c r="AO34" i="13" s="1"/>
  <c r="U35" i="13"/>
  <c r="V35" i="13"/>
  <c r="W35" i="13"/>
  <c r="X35" i="13"/>
  <c r="Y35" i="13"/>
  <c r="Z35" i="13"/>
  <c r="AA35" i="13"/>
  <c r="AB35" i="13"/>
  <c r="AC35" i="13"/>
  <c r="AD35" i="13"/>
  <c r="AE35" i="13"/>
  <c r="AF35" i="13"/>
  <c r="AG35" i="13"/>
  <c r="AH35" i="13"/>
  <c r="AI35" i="13"/>
  <c r="E44" i="1" s="1"/>
  <c r="AJ35" i="13"/>
  <c r="AK35" i="13"/>
  <c r="AM35" i="13"/>
  <c r="AN35" i="13" s="1"/>
  <c r="AO35" i="13" s="1"/>
  <c r="U36" i="13"/>
  <c r="V36" i="13"/>
  <c r="W36" i="13"/>
  <c r="X36" i="13"/>
  <c r="Y36" i="13"/>
  <c r="Z36" i="13"/>
  <c r="AA36" i="13"/>
  <c r="AB36" i="13"/>
  <c r="AC36" i="13"/>
  <c r="AD36" i="13"/>
  <c r="AE36" i="13"/>
  <c r="AF36" i="13"/>
  <c r="AG36" i="13"/>
  <c r="AH36" i="13"/>
  <c r="AI36" i="13"/>
  <c r="E45" i="1"/>
  <c r="I33" i="8" s="1"/>
  <c r="AJ36" i="13"/>
  <c r="AK36" i="13"/>
  <c r="AM36" i="13"/>
  <c r="AN36" i="13" s="1"/>
  <c r="AO36" i="13" s="1"/>
  <c r="U37" i="13"/>
  <c r="V37" i="13"/>
  <c r="W37" i="13"/>
  <c r="X37" i="13"/>
  <c r="Y37" i="13"/>
  <c r="Z37" i="13"/>
  <c r="AA37" i="13"/>
  <c r="AB37" i="13"/>
  <c r="AC37" i="13"/>
  <c r="AD37" i="13"/>
  <c r="AE37" i="13"/>
  <c r="AF37" i="13"/>
  <c r="AG37" i="13"/>
  <c r="AH37" i="13"/>
  <c r="AI37" i="13"/>
  <c r="E46" i="1" s="1"/>
  <c r="B35" i="4" s="1"/>
  <c r="AJ37" i="13"/>
  <c r="AK37" i="13"/>
  <c r="AM37" i="13"/>
  <c r="AN37" i="13" s="1"/>
  <c r="AO37" i="13" s="1"/>
  <c r="U38" i="13"/>
  <c r="V38" i="13"/>
  <c r="W38" i="13"/>
  <c r="X38" i="13"/>
  <c r="Y38" i="13"/>
  <c r="Z38" i="13"/>
  <c r="AA38" i="13"/>
  <c r="AB38" i="13"/>
  <c r="AC38" i="13"/>
  <c r="AD38" i="13"/>
  <c r="AE38" i="13"/>
  <c r="AF38" i="13"/>
  <c r="AG38" i="13"/>
  <c r="AH38" i="13"/>
  <c r="AI38" i="13"/>
  <c r="E47" i="1" s="1"/>
  <c r="B36" i="4" s="1"/>
  <c r="AJ38" i="13"/>
  <c r="AK38" i="13"/>
  <c r="AM38" i="13"/>
  <c r="AN38" i="13" s="1"/>
  <c r="AO38" i="13" s="1"/>
  <c r="U39" i="13"/>
  <c r="V39" i="13"/>
  <c r="W39" i="13"/>
  <c r="X39" i="13"/>
  <c r="Y39" i="13"/>
  <c r="Z39" i="13"/>
  <c r="AA39" i="13"/>
  <c r="AB39" i="13"/>
  <c r="AC39" i="13"/>
  <c r="AD39" i="13"/>
  <c r="AE39" i="13"/>
  <c r="AF39" i="13"/>
  <c r="AG39" i="13"/>
  <c r="AH39" i="13"/>
  <c r="AI39" i="13"/>
  <c r="E48" i="1" s="1"/>
  <c r="B37" i="4" s="1"/>
  <c r="AJ39" i="13"/>
  <c r="AK39" i="13"/>
  <c r="AM39" i="13"/>
  <c r="AN39" i="13" s="1"/>
  <c r="AO39" i="13" s="1"/>
  <c r="U40" i="13"/>
  <c r="V40" i="13"/>
  <c r="W40" i="13"/>
  <c r="X40" i="13"/>
  <c r="Y40" i="13"/>
  <c r="Z40" i="13"/>
  <c r="AA40" i="13"/>
  <c r="AB40" i="13"/>
  <c r="AC40" i="13"/>
  <c r="AD40" i="13"/>
  <c r="AE40" i="13"/>
  <c r="AF40" i="13"/>
  <c r="AG40" i="13"/>
  <c r="AH40" i="13"/>
  <c r="AI40" i="13"/>
  <c r="E49" i="1" s="1"/>
  <c r="B38" i="4" s="1"/>
  <c r="AJ40" i="13"/>
  <c r="AK40" i="13"/>
  <c r="AM40" i="13"/>
  <c r="AN40" i="13" s="1"/>
  <c r="AO40" i="13" s="1"/>
  <c r="U41" i="13"/>
  <c r="V41" i="13"/>
  <c r="W41" i="13"/>
  <c r="X41" i="13"/>
  <c r="Y41" i="13"/>
  <c r="Z41" i="13"/>
  <c r="AA41" i="13"/>
  <c r="AB41" i="13"/>
  <c r="AC41" i="13"/>
  <c r="AD41" i="13"/>
  <c r="AE41" i="13"/>
  <c r="AF41" i="13"/>
  <c r="AG41" i="13"/>
  <c r="AH41" i="13"/>
  <c r="AI41" i="13"/>
  <c r="E50" i="1" s="1"/>
  <c r="B39" i="4" s="1"/>
  <c r="AJ41" i="13"/>
  <c r="AK41" i="13"/>
  <c r="AM41" i="13"/>
  <c r="AN41" i="13" s="1"/>
  <c r="AO41" i="13" s="1"/>
  <c r="U42" i="13"/>
  <c r="V42" i="13"/>
  <c r="W42" i="13"/>
  <c r="X42" i="13"/>
  <c r="Y42" i="13"/>
  <c r="Z42" i="13"/>
  <c r="AA42" i="13"/>
  <c r="AB42" i="13"/>
  <c r="AC42" i="13"/>
  <c r="AD42" i="13"/>
  <c r="AE42" i="13"/>
  <c r="AF42" i="13"/>
  <c r="AG42" i="13"/>
  <c r="AH42" i="13"/>
  <c r="AI42" i="13"/>
  <c r="E51" i="1" s="1"/>
  <c r="I39" i="8" s="1"/>
  <c r="AJ42" i="13"/>
  <c r="AK42" i="13"/>
  <c r="AM42" i="13"/>
  <c r="AN42" i="13" s="1"/>
  <c r="AO42" i="13" s="1"/>
  <c r="U43" i="13"/>
  <c r="V43" i="13"/>
  <c r="W43" i="13"/>
  <c r="X43" i="13"/>
  <c r="Y43" i="13"/>
  <c r="Z43" i="13"/>
  <c r="AA43" i="13"/>
  <c r="AB43" i="13"/>
  <c r="AC43" i="13"/>
  <c r="AD43" i="13"/>
  <c r="AE43" i="13"/>
  <c r="AF43" i="13"/>
  <c r="AG43" i="13"/>
  <c r="AH43" i="13"/>
  <c r="AI43" i="13"/>
  <c r="E52" i="1"/>
  <c r="B41" i="4" s="1"/>
  <c r="AJ43" i="13"/>
  <c r="AK43" i="13"/>
  <c r="AM43" i="13"/>
  <c r="AN43" i="13" s="1"/>
  <c r="AO43" i="13" s="1"/>
  <c r="U44" i="13"/>
  <c r="V44" i="13"/>
  <c r="W44" i="13"/>
  <c r="X44" i="13"/>
  <c r="Y44" i="13"/>
  <c r="Z44" i="13"/>
  <c r="AA44" i="13"/>
  <c r="AB44" i="13"/>
  <c r="AC44" i="13"/>
  <c r="AD44" i="13"/>
  <c r="AE44" i="13"/>
  <c r="AF44" i="13"/>
  <c r="AG44" i="13"/>
  <c r="AH44" i="13"/>
  <c r="AI44" i="13"/>
  <c r="E53" i="1" s="1"/>
  <c r="AJ44" i="13"/>
  <c r="AK44" i="13"/>
  <c r="AM44" i="13"/>
  <c r="AN44" i="13" s="1"/>
  <c r="AO44" i="13" s="1"/>
  <c r="U45" i="13"/>
  <c r="V45" i="13"/>
  <c r="W45" i="13"/>
  <c r="X45" i="13"/>
  <c r="Y45" i="13"/>
  <c r="Z45" i="13"/>
  <c r="AA45" i="13"/>
  <c r="AB45" i="13"/>
  <c r="AC45" i="13"/>
  <c r="AD45" i="13"/>
  <c r="AE45" i="13"/>
  <c r="AF45" i="13"/>
  <c r="AG45" i="13"/>
  <c r="AH45" i="13"/>
  <c r="AI45" i="13"/>
  <c r="E54" i="1" s="1"/>
  <c r="B43" i="4" s="1"/>
  <c r="AJ45" i="13"/>
  <c r="AK45" i="13"/>
  <c r="AM45" i="13"/>
  <c r="AN45" i="13" s="1"/>
  <c r="AO45" i="13" s="1"/>
  <c r="U46" i="13"/>
  <c r="V46" i="13"/>
  <c r="W46" i="13"/>
  <c r="X46" i="13"/>
  <c r="Y46" i="13"/>
  <c r="Z46" i="13"/>
  <c r="AA46" i="13"/>
  <c r="AB46" i="13"/>
  <c r="AC46" i="13"/>
  <c r="AD46" i="13"/>
  <c r="AE46" i="13"/>
  <c r="AF46" i="13"/>
  <c r="AG46" i="13"/>
  <c r="AH46" i="13"/>
  <c r="AI46" i="13"/>
  <c r="E55" i="1" s="1"/>
  <c r="B44" i="4" s="1"/>
  <c r="AJ46" i="13"/>
  <c r="AK46" i="13"/>
  <c r="AM46" i="13"/>
  <c r="AN46" i="13" s="1"/>
  <c r="AO46" i="13" s="1"/>
  <c r="U47" i="13"/>
  <c r="V47" i="13"/>
  <c r="W47" i="13"/>
  <c r="X47" i="13"/>
  <c r="Y47" i="13"/>
  <c r="Z47" i="13"/>
  <c r="AA47" i="13"/>
  <c r="AB47" i="13"/>
  <c r="AC47" i="13"/>
  <c r="AD47" i="13"/>
  <c r="AE47" i="13"/>
  <c r="AF47" i="13"/>
  <c r="AG47" i="13"/>
  <c r="AH47" i="13"/>
  <c r="AI47" i="13"/>
  <c r="E56" i="1" s="1"/>
  <c r="AJ47" i="13"/>
  <c r="AK47" i="13"/>
  <c r="AM47" i="13"/>
  <c r="AN47" i="13" s="1"/>
  <c r="AO47" i="13" s="1"/>
  <c r="U48" i="13"/>
  <c r="V48" i="13"/>
  <c r="W48" i="13"/>
  <c r="X48" i="13"/>
  <c r="Y48" i="13"/>
  <c r="Z48" i="13"/>
  <c r="AA48" i="13"/>
  <c r="AB48" i="13"/>
  <c r="AC48" i="13"/>
  <c r="AD48" i="13"/>
  <c r="AE48" i="13"/>
  <c r="AF48" i="13"/>
  <c r="AG48" i="13"/>
  <c r="AH48" i="13"/>
  <c r="AI48" i="13"/>
  <c r="E57" i="1" s="1"/>
  <c r="I45" i="8" s="1"/>
  <c r="AJ48" i="13"/>
  <c r="AK48" i="13"/>
  <c r="AM48" i="13"/>
  <c r="AN48" i="13" s="1"/>
  <c r="AO48" i="13" s="1"/>
  <c r="U49" i="13"/>
  <c r="V49" i="13"/>
  <c r="W49" i="13"/>
  <c r="X49" i="13"/>
  <c r="Y49" i="13"/>
  <c r="Z49" i="13"/>
  <c r="AA49" i="13"/>
  <c r="AB49" i="13"/>
  <c r="AC49" i="13"/>
  <c r="AD49" i="13"/>
  <c r="AE49" i="13"/>
  <c r="AF49" i="13"/>
  <c r="AG49" i="13"/>
  <c r="AH49" i="13"/>
  <c r="AI49" i="13"/>
  <c r="E58" i="1"/>
  <c r="B47" i="4" s="1"/>
  <c r="AJ49" i="13"/>
  <c r="AK49" i="13"/>
  <c r="AM49" i="13"/>
  <c r="AN49" i="13" s="1"/>
  <c r="AO49" i="13" s="1"/>
  <c r="U50" i="13"/>
  <c r="V50" i="13"/>
  <c r="W50" i="13"/>
  <c r="X50" i="13"/>
  <c r="Y50" i="13"/>
  <c r="Z50" i="13"/>
  <c r="AA50" i="13"/>
  <c r="AB50" i="13"/>
  <c r="AC50" i="13"/>
  <c r="AD50" i="13"/>
  <c r="AE50" i="13"/>
  <c r="AF50" i="13"/>
  <c r="AG50" i="13"/>
  <c r="AH50" i="13"/>
  <c r="AI50" i="13"/>
  <c r="E59" i="1" s="1"/>
  <c r="AJ50" i="13"/>
  <c r="AK50" i="13"/>
  <c r="AM50" i="13"/>
  <c r="AN50" i="13" s="1"/>
  <c r="AO50" i="13" s="1"/>
  <c r="U51" i="13"/>
  <c r="V51" i="13"/>
  <c r="W51" i="13"/>
  <c r="X51" i="13"/>
  <c r="Y51" i="13"/>
  <c r="Z51" i="13"/>
  <c r="AA51" i="13"/>
  <c r="AB51" i="13"/>
  <c r="AC51" i="13"/>
  <c r="AD51" i="13"/>
  <c r="AE51" i="13"/>
  <c r="AF51" i="13"/>
  <c r="AG51" i="13"/>
  <c r="AH51" i="13"/>
  <c r="AI51" i="13"/>
  <c r="E60" i="1" s="1"/>
  <c r="AJ51" i="13"/>
  <c r="AK51" i="13"/>
  <c r="AM51" i="13"/>
  <c r="AN51" i="13" s="1"/>
  <c r="AO51" i="13" s="1"/>
  <c r="U52" i="13"/>
  <c r="V52" i="13"/>
  <c r="W52" i="13"/>
  <c r="X52" i="13"/>
  <c r="Y52" i="13"/>
  <c r="Z52" i="13"/>
  <c r="AA52" i="13"/>
  <c r="AB52" i="13"/>
  <c r="AC52" i="13"/>
  <c r="AD52" i="13"/>
  <c r="AE52" i="13"/>
  <c r="AF52" i="13"/>
  <c r="AG52" i="13"/>
  <c r="AH52" i="13"/>
  <c r="AI52" i="13"/>
  <c r="E61" i="1" s="1"/>
  <c r="B50" i="4" s="1"/>
  <c r="D50" i="4" s="1"/>
  <c r="AJ52" i="13"/>
  <c r="AK52" i="13"/>
  <c r="AM52" i="13"/>
  <c r="AN52" i="13" s="1"/>
  <c r="AO52" i="13" s="1"/>
  <c r="U53" i="13"/>
  <c r="V53" i="13"/>
  <c r="W53" i="13"/>
  <c r="X53" i="13"/>
  <c r="Y53" i="13"/>
  <c r="Z53" i="13"/>
  <c r="AA53" i="13"/>
  <c r="AB53" i="13"/>
  <c r="AC53" i="13"/>
  <c r="AD53" i="13"/>
  <c r="AE53" i="13"/>
  <c r="AF53" i="13"/>
  <c r="AG53" i="13"/>
  <c r="AH53" i="13"/>
  <c r="AI53" i="13"/>
  <c r="E62" i="1" s="1"/>
  <c r="B51" i="4" s="1"/>
  <c r="AJ53" i="13"/>
  <c r="AK53" i="13"/>
  <c r="AM53" i="13"/>
  <c r="AN53" i="13" s="1"/>
  <c r="AO53" i="13" s="1"/>
  <c r="U54" i="13"/>
  <c r="V54" i="13"/>
  <c r="W54" i="13"/>
  <c r="X54" i="13"/>
  <c r="Y54" i="13"/>
  <c r="Z54" i="13"/>
  <c r="AA54" i="13"/>
  <c r="AB54" i="13"/>
  <c r="AC54" i="13"/>
  <c r="AD54" i="13"/>
  <c r="AE54" i="13"/>
  <c r="AF54" i="13"/>
  <c r="AG54" i="13"/>
  <c r="AH54" i="13"/>
  <c r="AI54" i="13"/>
  <c r="E63" i="1" s="1"/>
  <c r="AJ54" i="13"/>
  <c r="AK54" i="13"/>
  <c r="AM54" i="13"/>
  <c r="AN54" i="13" s="1"/>
  <c r="AO54" i="13" s="1"/>
  <c r="U55" i="13"/>
  <c r="V55" i="13"/>
  <c r="W55" i="13"/>
  <c r="X55" i="13"/>
  <c r="Y55" i="13"/>
  <c r="Z55" i="13"/>
  <c r="AA55" i="13"/>
  <c r="AB55" i="13"/>
  <c r="AC55" i="13"/>
  <c r="AD55" i="13"/>
  <c r="AE55" i="13"/>
  <c r="AF55" i="13"/>
  <c r="AG55" i="13"/>
  <c r="AH55" i="13"/>
  <c r="AI55" i="13"/>
  <c r="E64" i="1" s="1"/>
  <c r="AJ55" i="13"/>
  <c r="AK55" i="13"/>
  <c r="AM55" i="13"/>
  <c r="AN55" i="13" s="1"/>
  <c r="AO55" i="13" s="1"/>
  <c r="U56" i="13"/>
  <c r="V56" i="13"/>
  <c r="W56" i="13"/>
  <c r="X56" i="13"/>
  <c r="Y56" i="13"/>
  <c r="Z56" i="13"/>
  <c r="AA56" i="13"/>
  <c r="AB56" i="13"/>
  <c r="AC56" i="13"/>
  <c r="AD56" i="13"/>
  <c r="AE56" i="13"/>
  <c r="AF56" i="13"/>
  <c r="AG56" i="13"/>
  <c r="AH56" i="13"/>
  <c r="AI56" i="13"/>
  <c r="E65" i="1" s="1"/>
  <c r="I53" i="8" s="1"/>
  <c r="AJ56" i="13"/>
  <c r="AK56" i="13"/>
  <c r="AM56" i="13"/>
  <c r="AN56" i="13" s="1"/>
  <c r="AO56" i="13" s="1"/>
  <c r="U57" i="13"/>
  <c r="V57" i="13"/>
  <c r="W57" i="13"/>
  <c r="X57" i="13"/>
  <c r="Y57" i="13"/>
  <c r="Z57" i="13"/>
  <c r="AA57" i="13"/>
  <c r="AB57" i="13"/>
  <c r="AC57" i="13"/>
  <c r="AD57" i="13"/>
  <c r="AE57" i="13"/>
  <c r="AF57" i="13"/>
  <c r="AG57" i="13"/>
  <c r="AH57" i="13"/>
  <c r="AI57" i="13"/>
  <c r="E66" i="1" s="1"/>
  <c r="I54" i="8" s="1"/>
  <c r="AJ57" i="13"/>
  <c r="AK57" i="13"/>
  <c r="AM57" i="13"/>
  <c r="AN57" i="13" s="1"/>
  <c r="AO57" i="13" s="1"/>
  <c r="U58" i="13"/>
  <c r="V58" i="13"/>
  <c r="W58" i="13"/>
  <c r="X58" i="13"/>
  <c r="Y58" i="13"/>
  <c r="Z58" i="13"/>
  <c r="AA58" i="13"/>
  <c r="AB58" i="13"/>
  <c r="AC58" i="13"/>
  <c r="AD58" i="13"/>
  <c r="AE58" i="13"/>
  <c r="AF58" i="13"/>
  <c r="AG58" i="13"/>
  <c r="AH58" i="13"/>
  <c r="AI58" i="13"/>
  <c r="E67" i="1" s="1"/>
  <c r="AJ58" i="13"/>
  <c r="AK58" i="13"/>
  <c r="AM58" i="13"/>
  <c r="AN58" i="13" s="1"/>
  <c r="AO58" i="13" s="1"/>
  <c r="U59" i="13"/>
  <c r="V59" i="13"/>
  <c r="W59" i="13"/>
  <c r="X59" i="13"/>
  <c r="Y59" i="13"/>
  <c r="Z59" i="13"/>
  <c r="AA59" i="13"/>
  <c r="AB59" i="13"/>
  <c r="AC59" i="13"/>
  <c r="AD59" i="13"/>
  <c r="AE59" i="13"/>
  <c r="AF59" i="13"/>
  <c r="AG59" i="13"/>
  <c r="AH59" i="13"/>
  <c r="AI59" i="13"/>
  <c r="E68" i="1" s="1"/>
  <c r="AJ59" i="13"/>
  <c r="AK59" i="13"/>
  <c r="AM59" i="13"/>
  <c r="AN59" i="13" s="1"/>
  <c r="AO59" i="13" s="1"/>
  <c r="U60" i="13"/>
  <c r="V60" i="13"/>
  <c r="W60" i="13"/>
  <c r="X60" i="13"/>
  <c r="Y60" i="13"/>
  <c r="Z60" i="13"/>
  <c r="AA60" i="13"/>
  <c r="AB60" i="13"/>
  <c r="AC60" i="13"/>
  <c r="AD60" i="13"/>
  <c r="AE60" i="13"/>
  <c r="AF60" i="13"/>
  <c r="AG60" i="13"/>
  <c r="AH60" i="13"/>
  <c r="AI60" i="13"/>
  <c r="E69" i="1" s="1"/>
  <c r="B58" i="4" s="1"/>
  <c r="AJ60" i="13"/>
  <c r="AK60" i="13"/>
  <c r="AM60" i="13"/>
  <c r="AN60" i="13" s="1"/>
  <c r="AO60" i="13" s="1"/>
  <c r="U61" i="13"/>
  <c r="V61" i="13"/>
  <c r="W61" i="13"/>
  <c r="X61" i="13"/>
  <c r="Y61" i="13"/>
  <c r="Z61" i="13"/>
  <c r="AA61" i="13"/>
  <c r="AB61" i="13"/>
  <c r="AC61" i="13"/>
  <c r="AD61" i="13"/>
  <c r="AE61" i="13"/>
  <c r="AF61" i="13"/>
  <c r="AG61" i="13"/>
  <c r="AH61" i="13"/>
  <c r="AI61" i="13"/>
  <c r="E70" i="1" s="1"/>
  <c r="AJ61" i="13"/>
  <c r="AK61" i="13"/>
  <c r="AM61" i="13"/>
  <c r="AN61" i="13" s="1"/>
  <c r="AO61" i="13" s="1"/>
  <c r="U62" i="13"/>
  <c r="V62" i="13"/>
  <c r="W62" i="13"/>
  <c r="X62" i="13"/>
  <c r="Y62" i="13"/>
  <c r="Z62" i="13"/>
  <c r="AA62" i="13"/>
  <c r="AB62" i="13"/>
  <c r="AC62" i="13"/>
  <c r="AD62" i="13"/>
  <c r="AE62" i="13"/>
  <c r="AF62" i="13"/>
  <c r="AG62" i="13"/>
  <c r="AH62" i="13"/>
  <c r="AI62" i="13"/>
  <c r="E71" i="1" s="1"/>
  <c r="I59" i="8" s="1"/>
  <c r="AJ62" i="13"/>
  <c r="AK62" i="13"/>
  <c r="AM62" i="13"/>
  <c r="AN62" i="13" s="1"/>
  <c r="AO62" i="13" s="1"/>
  <c r="U63" i="13"/>
  <c r="V63" i="13"/>
  <c r="W63" i="13"/>
  <c r="X63" i="13"/>
  <c r="Y63" i="13"/>
  <c r="Z63" i="13"/>
  <c r="AA63" i="13"/>
  <c r="AB63" i="13"/>
  <c r="AC63" i="13"/>
  <c r="AD63" i="13"/>
  <c r="AE63" i="13"/>
  <c r="AF63" i="13"/>
  <c r="AG63" i="13"/>
  <c r="AH63" i="13"/>
  <c r="AI63" i="13"/>
  <c r="E72" i="1"/>
  <c r="AJ63" i="13"/>
  <c r="AK63" i="13"/>
  <c r="AM63" i="13"/>
  <c r="AN63" i="13" s="1"/>
  <c r="AO63" i="13" s="1"/>
  <c r="U64" i="13"/>
  <c r="V64" i="13"/>
  <c r="W64" i="13"/>
  <c r="X64" i="13"/>
  <c r="Y64" i="13"/>
  <c r="Z64" i="13"/>
  <c r="AA64" i="13"/>
  <c r="AB64" i="13"/>
  <c r="AC64" i="13"/>
  <c r="AD64" i="13"/>
  <c r="AE64" i="13"/>
  <c r="AF64" i="13"/>
  <c r="AG64" i="13"/>
  <c r="AH64" i="13"/>
  <c r="AI64" i="13"/>
  <c r="E73" i="1" s="1"/>
  <c r="AJ64" i="13"/>
  <c r="AK64" i="13"/>
  <c r="AM64" i="13"/>
  <c r="AN64" i="13" s="1"/>
  <c r="AO64" i="13" s="1"/>
  <c r="U65" i="13"/>
  <c r="V65" i="13"/>
  <c r="W65" i="13"/>
  <c r="X65" i="13"/>
  <c r="Y65" i="13"/>
  <c r="Z65" i="13"/>
  <c r="AA65" i="13"/>
  <c r="AB65" i="13"/>
  <c r="AC65" i="13"/>
  <c r="AD65" i="13"/>
  <c r="AE65" i="13"/>
  <c r="AF65" i="13"/>
  <c r="AG65" i="13"/>
  <c r="AH65" i="13"/>
  <c r="AI65" i="13"/>
  <c r="E74" i="1" s="1"/>
  <c r="AJ65" i="13"/>
  <c r="AK65" i="13"/>
  <c r="AM65" i="13"/>
  <c r="AN65" i="13" s="1"/>
  <c r="AO65" i="13" s="1"/>
  <c r="X69" i="13"/>
  <c r="Y69" i="13"/>
  <c r="AG69" i="13"/>
  <c r="AI69" i="13"/>
  <c r="Q66" i="13"/>
  <c r="D58" i="4" l="1"/>
  <c r="G58" i="4" s="1"/>
  <c r="D10" i="4"/>
  <c r="G10" i="4" s="1"/>
  <c r="V10" i="4" s="1"/>
  <c r="D22" i="4"/>
  <c r="G22" i="4" s="1"/>
  <c r="AE22" i="4" s="1"/>
  <c r="D26" i="4"/>
  <c r="D38" i="4"/>
  <c r="E38" i="4" s="1"/>
  <c r="F38" i="4" s="1"/>
  <c r="D17" i="4"/>
  <c r="E17" i="4" s="1"/>
  <c r="F17" i="4" s="1"/>
  <c r="I26" i="8"/>
  <c r="M15" i="8"/>
  <c r="F15" i="8" s="1"/>
  <c r="J77" i="4"/>
  <c r="S52" i="1" s="1"/>
  <c r="I38" i="8"/>
  <c r="D41" i="4"/>
  <c r="E41" i="4" s="1"/>
  <c r="F41" i="4" s="1"/>
  <c r="I42" i="8"/>
  <c r="B8" i="4"/>
  <c r="D8" i="4" s="1"/>
  <c r="G8" i="4" s="1"/>
  <c r="I35" i="8"/>
  <c r="I19" i="8"/>
  <c r="D37" i="4"/>
  <c r="G37" i="4" s="1"/>
  <c r="I31" i="8"/>
  <c r="B32" i="4"/>
  <c r="D32" i="4" s="1"/>
  <c r="G32" i="4" s="1"/>
  <c r="Z32" i="4" s="1"/>
  <c r="I36" i="8"/>
  <c r="I50" i="8"/>
  <c r="B40" i="4"/>
  <c r="D40" i="4" s="1"/>
  <c r="E40" i="4" s="1"/>
  <c r="F40" i="4" s="1"/>
  <c r="I30" i="8"/>
  <c r="B54" i="4"/>
  <c r="D54" i="4" s="1"/>
  <c r="G54" i="4" s="1"/>
  <c r="N54" i="4" s="1"/>
  <c r="I57" i="8"/>
  <c r="D44" i="4"/>
  <c r="G44" i="4" s="1"/>
  <c r="Q44" i="4" s="1"/>
  <c r="B30" i="4"/>
  <c r="D30" i="4" s="1"/>
  <c r="G30" i="4" s="1"/>
  <c r="D36" i="4"/>
  <c r="E36" i="4" s="1"/>
  <c r="F36" i="4" s="1"/>
  <c r="I37" i="8"/>
  <c r="I20" i="8"/>
  <c r="I9" i="8"/>
  <c r="B34" i="4"/>
  <c r="D34" i="4" s="1"/>
  <c r="G34" i="4" s="1"/>
  <c r="AA10" i="4"/>
  <c r="W10" i="4"/>
  <c r="T22" i="4"/>
  <c r="N13" i="4"/>
  <c r="V13" i="4"/>
  <c r="AR13" i="4"/>
  <c r="AE13" i="4"/>
  <c r="AJ13" i="4"/>
  <c r="Y13" i="4"/>
  <c r="X13" i="4"/>
  <c r="K13" i="4"/>
  <c r="AG13" i="4"/>
  <c r="Z13" i="4"/>
  <c r="M13" i="4"/>
  <c r="AS13" i="4"/>
  <c r="J13" i="4"/>
  <c r="AU13" i="4"/>
  <c r="AN13" i="4"/>
  <c r="AC13" i="4"/>
  <c r="AO13" i="4"/>
  <c r="L13" i="4"/>
  <c r="AA13" i="4"/>
  <c r="T13" i="4"/>
  <c r="H13" i="4"/>
  <c r="H12" i="8" s="1"/>
  <c r="J12" i="8" s="1"/>
  <c r="AB13" i="4"/>
  <c r="O13" i="4"/>
  <c r="AQ13" i="4"/>
  <c r="Q13" i="4"/>
  <c r="AL13" i="4"/>
  <c r="AP13" i="4"/>
  <c r="B28" i="4"/>
  <c r="D28" i="4" s="1"/>
  <c r="G28" i="4" s="1"/>
  <c r="I27" i="8"/>
  <c r="B33" i="4"/>
  <c r="D33" i="4" s="1"/>
  <c r="E33" i="4" s="1"/>
  <c r="F33" i="4" s="1"/>
  <c r="I32" i="8"/>
  <c r="Y32" i="4"/>
  <c r="I12" i="8"/>
  <c r="I40" i="8"/>
  <c r="B16" i="4"/>
  <c r="D16" i="4" s="1"/>
  <c r="D29" i="4"/>
  <c r="I21" i="8"/>
  <c r="M26" i="8"/>
  <c r="I14" i="8"/>
  <c r="I18" i="8"/>
  <c r="I34" i="8"/>
  <c r="D20" i="4"/>
  <c r="G20" i="4" s="1"/>
  <c r="I49" i="8"/>
  <c r="D21" i="4"/>
  <c r="B60" i="4"/>
  <c r="D60" i="4" s="1"/>
  <c r="E60" i="4" s="1"/>
  <c r="F60" i="4" s="1"/>
  <c r="D39" i="4"/>
  <c r="D47" i="4"/>
  <c r="G47" i="4" s="1"/>
  <c r="B62" i="4"/>
  <c r="D62" i="4" s="1"/>
  <c r="I61" i="8"/>
  <c r="B25" i="4"/>
  <c r="D25" i="4" s="1"/>
  <c r="I24" i="8"/>
  <c r="I11" i="8"/>
  <c r="B12" i="4"/>
  <c r="D12" i="4" s="1"/>
  <c r="G12" i="4" s="1"/>
  <c r="I13" i="8"/>
  <c r="B14" i="4"/>
  <c r="D14" i="4" s="1"/>
  <c r="B42" i="4"/>
  <c r="D42" i="4" s="1"/>
  <c r="I41" i="8"/>
  <c r="I47" i="8"/>
  <c r="B48" i="4"/>
  <c r="D48" i="4" s="1"/>
  <c r="E48" i="4" s="1"/>
  <c r="F48" i="4" s="1"/>
  <c r="M11" i="8"/>
  <c r="W13" i="4"/>
  <c r="AH13" i="4"/>
  <c r="R13" i="4"/>
  <c r="D15" i="4"/>
  <c r="I60" i="8"/>
  <c r="B61" i="4"/>
  <c r="D61" i="4" s="1"/>
  <c r="M53" i="8"/>
  <c r="M41" i="8"/>
  <c r="M37" i="8"/>
  <c r="AM13" i="4"/>
  <c r="I13" i="4"/>
  <c r="I24" i="1" s="1"/>
  <c r="AK13" i="4"/>
  <c r="U13" i="4"/>
  <c r="AV13" i="4"/>
  <c r="AF13" i="4"/>
  <c r="P13" i="4"/>
  <c r="AO10" i="4"/>
  <c r="AN10" i="4"/>
  <c r="AI13" i="4"/>
  <c r="S13" i="4"/>
  <c r="AT13" i="4"/>
  <c r="AD13" i="4"/>
  <c r="E13" i="4"/>
  <c r="F13" i="4" s="1"/>
  <c r="I17" i="8"/>
  <c r="B18" i="4"/>
  <c r="D18" i="4" s="1"/>
  <c r="E18" i="1"/>
  <c r="E75" i="1" s="1"/>
  <c r="G61" i="1" s="1"/>
  <c r="AI67" i="13"/>
  <c r="AI68" i="13" s="1"/>
  <c r="AO69" i="13" s="1"/>
  <c r="P28" i="1"/>
  <c r="I62" i="8"/>
  <c r="D31" i="4"/>
  <c r="AK22" i="4"/>
  <c r="D23" i="4"/>
  <c r="G23" i="4" s="1"/>
  <c r="Q22" i="4"/>
  <c r="I22" i="4"/>
  <c r="I33" i="1" s="1"/>
  <c r="AM22" i="4"/>
  <c r="M57" i="8"/>
  <c r="K77" i="4"/>
  <c r="S51" i="1" s="1"/>
  <c r="I43" i="8"/>
  <c r="M50" i="8"/>
  <c r="D11" i="18"/>
  <c r="B52" i="4"/>
  <c r="D52" i="4" s="1"/>
  <c r="I51" i="8"/>
  <c r="P27" i="1"/>
  <c r="D51" i="4"/>
  <c r="G26" i="4"/>
  <c r="E26" i="4"/>
  <c r="F26" i="4" s="1"/>
  <c r="D19" i="4"/>
  <c r="E50" i="4"/>
  <c r="F50" i="4" s="1"/>
  <c r="G50" i="4"/>
  <c r="B46" i="4"/>
  <c r="D46" i="4" s="1"/>
  <c r="AE10" i="4"/>
  <c r="T10" i="4"/>
  <c r="AJ10" i="4"/>
  <c r="AP10" i="4"/>
  <c r="AG10" i="4"/>
  <c r="Z10" i="4"/>
  <c r="Q10" i="4"/>
  <c r="J10" i="4"/>
  <c r="R10" i="4"/>
  <c r="D35" i="4"/>
  <c r="AF67" i="13"/>
  <c r="AF68" i="13" s="1"/>
  <c r="X67" i="13"/>
  <c r="X68" i="13" s="1"/>
  <c r="S10" i="4"/>
  <c r="L63" i="8"/>
  <c r="M9" i="8"/>
  <c r="M17" i="8"/>
  <c r="M7" i="8"/>
  <c r="M6" i="8"/>
  <c r="M36" i="8"/>
  <c r="M52" i="8"/>
  <c r="M18" i="8"/>
  <c r="M27" i="8"/>
  <c r="M43" i="8"/>
  <c r="M59" i="8"/>
  <c r="M12" i="8"/>
  <c r="M14" i="8"/>
  <c r="M28" i="8"/>
  <c r="M44" i="8"/>
  <c r="M60" i="8"/>
  <c r="M5" i="8"/>
  <c r="M10" i="8"/>
  <c r="M35" i="8"/>
  <c r="M42" i="8"/>
  <c r="M51" i="8"/>
  <c r="M58" i="8"/>
  <c r="M34" i="8"/>
  <c r="M13" i="8"/>
  <c r="E22" i="4"/>
  <c r="F22" i="4" s="1"/>
  <c r="B63" i="4"/>
  <c r="D63" i="4" s="1"/>
  <c r="AI22" i="4"/>
  <c r="X22" i="4"/>
  <c r="AN22" i="4"/>
  <c r="AR22" i="4"/>
  <c r="B55" i="4"/>
  <c r="D55" i="4" s="1"/>
  <c r="I48" i="8"/>
  <c r="B49" i="4"/>
  <c r="D49" i="4" s="1"/>
  <c r="B24" i="4"/>
  <c r="D24" i="4" s="1"/>
  <c r="I23" i="8"/>
  <c r="AE67" i="13"/>
  <c r="AE68" i="13" s="1"/>
  <c r="W67" i="13"/>
  <c r="W68" i="13" s="1"/>
  <c r="I16" i="8"/>
  <c r="P22" i="1"/>
  <c r="B56" i="4"/>
  <c r="D56" i="4" s="1"/>
  <c r="I55" i="8"/>
  <c r="I25" i="8"/>
  <c r="M77" i="4"/>
  <c r="S48" i="1" s="1"/>
  <c r="I22" i="8"/>
  <c r="AJ67" i="13"/>
  <c r="AJ68" i="13" s="1"/>
  <c r="M48" i="8"/>
  <c r="M29" i="8"/>
  <c r="D27" i="4"/>
  <c r="D43" i="4"/>
  <c r="I56" i="8"/>
  <c r="B57" i="4"/>
  <c r="D57" i="4" s="1"/>
  <c r="B53" i="4"/>
  <c r="D53" i="4" s="1"/>
  <c r="I52" i="8"/>
  <c r="AK67" i="13"/>
  <c r="AK68" i="13" s="1"/>
  <c r="M25" i="8"/>
  <c r="M16" i="8"/>
  <c r="B59" i="4"/>
  <c r="D59" i="4" s="1"/>
  <c r="I58" i="8"/>
  <c r="P25" i="1"/>
  <c r="I46" i="8"/>
  <c r="B45" i="4"/>
  <c r="D45" i="4" s="1"/>
  <c r="I44" i="8"/>
  <c r="B9" i="4"/>
  <c r="D9" i="4" s="1"/>
  <c r="AG67" i="13"/>
  <c r="AG68" i="13" s="1"/>
  <c r="M61" i="8"/>
  <c r="M47" i="8"/>
  <c r="I28" i="8"/>
  <c r="P23" i="1"/>
  <c r="B11" i="4"/>
  <c r="D11" i="4" s="1"/>
  <c r="P21" i="1"/>
  <c r="M54" i="8"/>
  <c r="M22" i="8"/>
  <c r="AH77" i="4"/>
  <c r="S50" i="1" s="1"/>
  <c r="P26" i="1"/>
  <c r="M32" i="8"/>
  <c r="M21" i="8"/>
  <c r="M8" i="8"/>
  <c r="AB67" i="13"/>
  <c r="AB68" i="13" s="1"/>
  <c r="M38" i="8"/>
  <c r="AC67" i="13"/>
  <c r="AC68" i="13" s="1"/>
  <c r="U67" i="13"/>
  <c r="U68" i="13" s="1"/>
  <c r="M45" i="8"/>
  <c r="M31" i="8"/>
  <c r="K63" i="8"/>
  <c r="AM67" i="13"/>
  <c r="AN10" i="13"/>
  <c r="Y67" i="13"/>
  <c r="Y68" i="13" s="1"/>
  <c r="AD67" i="13"/>
  <c r="AD68" i="13" s="1"/>
  <c r="V67" i="13"/>
  <c r="V68" i="13" s="1"/>
  <c r="M19" i="8"/>
  <c r="AG77" i="4"/>
  <c r="S49" i="1" s="1"/>
  <c r="L77" i="4"/>
  <c r="S47" i="1" s="1"/>
  <c r="B6" i="4"/>
  <c r="D6" i="4" s="1"/>
  <c r="AA67" i="13"/>
  <c r="AA68" i="13" s="1"/>
  <c r="M62" i="8"/>
  <c r="M56" i="8"/>
  <c r="M46" i="8"/>
  <c r="M40" i="8"/>
  <c r="M30" i="8"/>
  <c r="M24" i="8"/>
  <c r="AH67" i="13"/>
  <c r="AH68" i="13" s="1"/>
  <c r="Z67" i="13"/>
  <c r="Z68" i="13" s="1"/>
  <c r="P24" i="1"/>
  <c r="M55" i="8"/>
  <c r="M49" i="8"/>
  <c r="M39" i="8"/>
  <c r="M33" i="8"/>
  <c r="M23" i="8"/>
  <c r="M20" i="8"/>
  <c r="AD44" i="4" l="1"/>
  <c r="AL32" i="4"/>
  <c r="AL22" i="4"/>
  <c r="AF10" i="4"/>
  <c r="X10" i="4"/>
  <c r="AK10" i="4"/>
  <c r="V32" i="4"/>
  <c r="AT10" i="4"/>
  <c r="AC10" i="4"/>
  <c r="R32" i="4"/>
  <c r="AQ10" i="4"/>
  <c r="AB10" i="4"/>
  <c r="K10" i="4"/>
  <c r="AC22" i="4"/>
  <c r="S22" i="4"/>
  <c r="Z22" i="4"/>
  <c r="O22" i="4"/>
  <c r="AL10" i="4"/>
  <c r="AR10" i="4"/>
  <c r="I10" i="4"/>
  <c r="I21" i="1" s="1"/>
  <c r="AD10" i="4"/>
  <c r="AP32" i="4"/>
  <c r="N10" i="4"/>
  <c r="W22" i="4"/>
  <c r="AU22" i="4"/>
  <c r="L22" i="4"/>
  <c r="E10" i="4"/>
  <c r="F10" i="4" s="1"/>
  <c r="Y10" i="4"/>
  <c r="M10" i="4"/>
  <c r="AU10" i="4"/>
  <c r="AH32" i="4"/>
  <c r="AH10" i="4"/>
  <c r="AV10" i="4"/>
  <c r="AS32" i="4"/>
  <c r="J22" i="4"/>
  <c r="P10" i="4"/>
  <c r="AM10" i="4"/>
  <c r="U10" i="4"/>
  <c r="V22" i="4"/>
  <c r="AT22" i="4"/>
  <c r="AA22" i="4"/>
  <c r="AS22" i="4"/>
  <c r="N22" i="4"/>
  <c r="AI10" i="4"/>
  <c r="H10" i="4"/>
  <c r="H9" i="8" s="1"/>
  <c r="J9" i="8" s="1"/>
  <c r="O10" i="4"/>
  <c r="AB22" i="4"/>
  <c r="AK32" i="4"/>
  <c r="AP22" i="4"/>
  <c r="L10" i="4"/>
  <c r="P22" i="4"/>
  <c r="AH22" i="4"/>
  <c r="AD22" i="4"/>
  <c r="K22" i="4"/>
  <c r="U22" i="4"/>
  <c r="AG22" i="4"/>
  <c r="Y22" i="4"/>
  <c r="G38" i="4"/>
  <c r="S38" i="4" s="1"/>
  <c r="AF22" i="4"/>
  <c r="AV22" i="4"/>
  <c r="AQ22" i="4"/>
  <c r="F26" i="8"/>
  <c r="M22" i="4"/>
  <c r="AO22" i="4"/>
  <c r="U44" i="4"/>
  <c r="AS10" i="4"/>
  <c r="E58" i="4"/>
  <c r="F58" i="4" s="1"/>
  <c r="AE32" i="4"/>
  <c r="AJ22" i="4"/>
  <c r="R22" i="4"/>
  <c r="H22" i="4"/>
  <c r="H21" i="8" s="1"/>
  <c r="J21" i="8" s="1"/>
  <c r="AB44" i="4"/>
  <c r="E37" i="4"/>
  <c r="F37" i="4" s="1"/>
  <c r="H32" i="4"/>
  <c r="H31" i="8" s="1"/>
  <c r="J31" i="8" s="1"/>
  <c r="AC32" i="4"/>
  <c r="AN44" i="4"/>
  <c r="AN32" i="4"/>
  <c r="AG32" i="4"/>
  <c r="AQ32" i="4"/>
  <c r="G41" i="4"/>
  <c r="J41" i="4" s="1"/>
  <c r="J32" i="4"/>
  <c r="O32" i="4"/>
  <c r="X32" i="4"/>
  <c r="AD32" i="4"/>
  <c r="AT32" i="4"/>
  <c r="AI32" i="4"/>
  <c r="AR32" i="4"/>
  <c r="AO32" i="4"/>
  <c r="S32" i="4"/>
  <c r="W32" i="4"/>
  <c r="U32" i="4"/>
  <c r="G17" i="4"/>
  <c r="AQ17" i="4" s="1"/>
  <c r="P32" i="4"/>
  <c r="AJ32" i="4"/>
  <c r="AB32" i="4"/>
  <c r="L32" i="4"/>
  <c r="K32" i="4"/>
  <c r="AF32" i="4"/>
  <c r="T32" i="4"/>
  <c r="AM32" i="4"/>
  <c r="AV32" i="4"/>
  <c r="Q32" i="4"/>
  <c r="M32" i="4"/>
  <c r="I32" i="4"/>
  <c r="I43" i="1" s="1"/>
  <c r="N32" i="4"/>
  <c r="AA32" i="4"/>
  <c r="AU32" i="4"/>
  <c r="E8" i="4"/>
  <c r="F8" i="4" s="1"/>
  <c r="E28" i="4"/>
  <c r="F28" i="4" s="1"/>
  <c r="Y54" i="4"/>
  <c r="F50" i="8"/>
  <c r="AM54" i="4"/>
  <c r="J54" i="4"/>
  <c r="AK54" i="4"/>
  <c r="AS54" i="4"/>
  <c r="W54" i="4"/>
  <c r="E32" i="4"/>
  <c r="F32" i="4" s="1"/>
  <c r="AJ54" i="4"/>
  <c r="AC54" i="4"/>
  <c r="E54" i="4"/>
  <c r="F54" i="4" s="1"/>
  <c r="P54" i="4"/>
  <c r="T54" i="4"/>
  <c r="M54" i="4"/>
  <c r="L54" i="4"/>
  <c r="V54" i="4"/>
  <c r="K54" i="4"/>
  <c r="AN54" i="4"/>
  <c r="H54" i="4"/>
  <c r="H53" i="8" s="1"/>
  <c r="J53" i="8" s="1"/>
  <c r="AD54" i="4"/>
  <c r="AQ54" i="4"/>
  <c r="G36" i="4"/>
  <c r="O36" i="4" s="1"/>
  <c r="AU54" i="4"/>
  <c r="I54" i="4"/>
  <c r="I65" i="1" s="1"/>
  <c r="AG54" i="4"/>
  <c r="AE54" i="4"/>
  <c r="X54" i="4"/>
  <c r="AB54" i="4"/>
  <c r="AA54" i="4"/>
  <c r="U54" i="4"/>
  <c r="O54" i="4"/>
  <c r="G48" i="4"/>
  <c r="P48" i="4" s="1"/>
  <c r="Q54" i="4"/>
  <c r="AP54" i="4"/>
  <c r="AV54" i="4"/>
  <c r="AF54" i="4"/>
  <c r="AT54" i="4"/>
  <c r="B64" i="4"/>
  <c r="P15" i="1" s="1"/>
  <c r="R28" i="1" s="1"/>
  <c r="E23" i="4"/>
  <c r="F23" i="4" s="1"/>
  <c r="Y44" i="4"/>
  <c r="X44" i="4"/>
  <c r="AO44" i="4"/>
  <c r="N44" i="4"/>
  <c r="W44" i="4"/>
  <c r="AU44" i="4"/>
  <c r="AK44" i="4"/>
  <c r="Z44" i="4"/>
  <c r="AH44" i="4"/>
  <c r="L44" i="4"/>
  <c r="AF44" i="4"/>
  <c r="AA44" i="4"/>
  <c r="T44" i="4"/>
  <c r="AI44" i="4"/>
  <c r="AO54" i="4"/>
  <c r="Z54" i="4"/>
  <c r="AR44" i="4"/>
  <c r="P44" i="4"/>
  <c r="K44" i="4"/>
  <c r="E44" i="4"/>
  <c r="F44" i="4" s="1"/>
  <c r="AI54" i="4"/>
  <c r="G40" i="4"/>
  <c r="U40" i="4" s="1"/>
  <c r="J44" i="4"/>
  <c r="AG44" i="4"/>
  <c r="AS44" i="4"/>
  <c r="AL44" i="4"/>
  <c r="E34" i="4"/>
  <c r="F34" i="4" s="1"/>
  <c r="R54" i="4"/>
  <c r="AH54" i="4"/>
  <c r="AV44" i="4"/>
  <c r="AJ44" i="4"/>
  <c r="AT44" i="4"/>
  <c r="AC44" i="4"/>
  <c r="V44" i="4"/>
  <c r="E30" i="4"/>
  <c r="F30" i="4" s="1"/>
  <c r="AQ44" i="4"/>
  <c r="AM44" i="4"/>
  <c r="AP44" i="4"/>
  <c r="AE44" i="4"/>
  <c r="M44" i="4"/>
  <c r="H44" i="4"/>
  <c r="H43" i="8" s="1"/>
  <c r="J43" i="8" s="1"/>
  <c r="F57" i="8"/>
  <c r="R44" i="4"/>
  <c r="AL54" i="4"/>
  <c r="AR54" i="4"/>
  <c r="S54" i="4"/>
  <c r="S44" i="4"/>
  <c r="I44" i="4"/>
  <c r="I55" i="1" s="1"/>
  <c r="O44" i="4"/>
  <c r="F37" i="8"/>
  <c r="E29" i="4"/>
  <c r="F29" i="4" s="1"/>
  <c r="G29" i="4"/>
  <c r="E20" i="4"/>
  <c r="F20" i="4" s="1"/>
  <c r="AQ69" i="13"/>
  <c r="G33" i="4"/>
  <c r="Q33" i="4" s="1"/>
  <c r="F41" i="8"/>
  <c r="E21" i="4"/>
  <c r="F21" i="4" s="1"/>
  <c r="G21" i="4"/>
  <c r="G16" i="4"/>
  <c r="E16" i="4"/>
  <c r="F16" i="4" s="1"/>
  <c r="E47" i="4"/>
  <c r="F47" i="4" s="1"/>
  <c r="G60" i="4"/>
  <c r="AL60" i="4" s="1"/>
  <c r="E14" i="4"/>
  <c r="F14" i="4" s="1"/>
  <c r="G14" i="4"/>
  <c r="G20" i="1"/>
  <c r="B7" i="4"/>
  <c r="D7" i="4" s="1"/>
  <c r="D64" i="4" s="1"/>
  <c r="I6" i="8"/>
  <c r="I63" i="8" s="1"/>
  <c r="AL41" i="4"/>
  <c r="E61" i="4"/>
  <c r="F61" i="4" s="1"/>
  <c r="G61" i="4"/>
  <c r="I30" i="4"/>
  <c r="I41" i="1" s="1"/>
  <c r="W30" i="4"/>
  <c r="AM30" i="4"/>
  <c r="L30" i="4"/>
  <c r="AB30" i="4"/>
  <c r="AR30" i="4"/>
  <c r="Y30" i="4"/>
  <c r="AO30" i="4"/>
  <c r="N30" i="4"/>
  <c r="AD30" i="4"/>
  <c r="AT30" i="4"/>
  <c r="K30" i="4"/>
  <c r="AA30" i="4"/>
  <c r="AQ30" i="4"/>
  <c r="P30" i="4"/>
  <c r="AF30" i="4"/>
  <c r="AV30" i="4"/>
  <c r="O30" i="4"/>
  <c r="AK30" i="4"/>
  <c r="V30" i="4"/>
  <c r="AJ30" i="4"/>
  <c r="Q30" i="4"/>
  <c r="AS30" i="4"/>
  <c r="X30" i="4"/>
  <c r="S30" i="4"/>
  <c r="AU30" i="4"/>
  <c r="Z30" i="4"/>
  <c r="AC30" i="4"/>
  <c r="U30" i="4"/>
  <c r="H30" i="4"/>
  <c r="H29" i="8" s="1"/>
  <c r="J29" i="8" s="1"/>
  <c r="AH30" i="4"/>
  <c r="J30" i="4"/>
  <c r="R30" i="4"/>
  <c r="T30" i="4"/>
  <c r="AP30" i="4"/>
  <c r="AG30" i="4"/>
  <c r="AI30" i="4"/>
  <c r="AL30" i="4"/>
  <c r="M30" i="4"/>
  <c r="AN30" i="4"/>
  <c r="AE30" i="4"/>
  <c r="G43" i="1"/>
  <c r="P20" i="1"/>
  <c r="F53" i="8"/>
  <c r="E18" i="4"/>
  <c r="F18" i="4" s="1"/>
  <c r="G18" i="4"/>
  <c r="E62" i="4"/>
  <c r="F62" i="4" s="1"/>
  <c r="G62" i="4"/>
  <c r="G39" i="4"/>
  <c r="E39" i="4"/>
  <c r="F39" i="4" s="1"/>
  <c r="G42" i="4"/>
  <c r="E42" i="4"/>
  <c r="F42" i="4" s="1"/>
  <c r="H58" i="4"/>
  <c r="H57" i="8" s="1"/>
  <c r="V58" i="4"/>
  <c r="AL58" i="4"/>
  <c r="M58" i="4"/>
  <c r="AC58" i="4"/>
  <c r="AS58" i="4"/>
  <c r="Z58" i="4"/>
  <c r="AR58" i="4"/>
  <c r="U58" i="4"/>
  <c r="AM58" i="4"/>
  <c r="J58" i="4"/>
  <c r="AD58" i="4"/>
  <c r="I58" i="4"/>
  <c r="I69" i="1" s="1"/>
  <c r="AE58" i="4"/>
  <c r="L58" i="4"/>
  <c r="AF58" i="4"/>
  <c r="K58" i="4"/>
  <c r="AG58" i="4"/>
  <c r="N58" i="4"/>
  <c r="AH58" i="4"/>
  <c r="O58" i="4"/>
  <c r="AI58" i="4"/>
  <c r="AN58" i="4"/>
  <c r="AA58" i="4"/>
  <c r="P58" i="4"/>
  <c r="AO58" i="4"/>
  <c r="T58" i="4"/>
  <c r="AU58" i="4"/>
  <c r="X58" i="4"/>
  <c r="AP58" i="4"/>
  <c r="AK58" i="4"/>
  <c r="AT58" i="4"/>
  <c r="Q58" i="4"/>
  <c r="R58" i="4"/>
  <c r="AV58" i="4"/>
  <c r="AQ58" i="4"/>
  <c r="S58" i="4"/>
  <c r="AB58" i="4"/>
  <c r="AJ58" i="4"/>
  <c r="W58" i="4"/>
  <c r="Y58" i="4"/>
  <c r="E15" i="4"/>
  <c r="F15" i="4" s="1"/>
  <c r="G15" i="4"/>
  <c r="E12" i="4"/>
  <c r="F12" i="4" s="1"/>
  <c r="F11" i="8"/>
  <c r="E25" i="4"/>
  <c r="F25" i="4" s="1"/>
  <c r="G25" i="4"/>
  <c r="S28" i="4"/>
  <c r="AI28" i="4"/>
  <c r="J28" i="4"/>
  <c r="Z28" i="4"/>
  <c r="AP28" i="4"/>
  <c r="U28" i="4"/>
  <c r="AK28" i="4"/>
  <c r="L28" i="4"/>
  <c r="AB28" i="4"/>
  <c r="AR28" i="4"/>
  <c r="AM28" i="4"/>
  <c r="AD28" i="4"/>
  <c r="W28" i="4"/>
  <c r="N28" i="4"/>
  <c r="AT28" i="4"/>
  <c r="Y28" i="4"/>
  <c r="AU28" i="4"/>
  <c r="AH28" i="4"/>
  <c r="H28" i="4"/>
  <c r="H27" i="8" s="1"/>
  <c r="J27" i="8" s="1"/>
  <c r="AJ28" i="4"/>
  <c r="AC28" i="4"/>
  <c r="K28" i="4"/>
  <c r="AG28" i="4"/>
  <c r="AV28" i="4"/>
  <c r="AA28" i="4"/>
  <c r="P28" i="4"/>
  <c r="AL28" i="4"/>
  <c r="T28" i="4"/>
  <c r="I28" i="4"/>
  <c r="I39" i="1" s="1"/>
  <c r="AE28" i="4"/>
  <c r="R28" i="4"/>
  <c r="AN28" i="4"/>
  <c r="AS28" i="4"/>
  <c r="V28" i="4"/>
  <c r="X28" i="4"/>
  <c r="Q28" i="4"/>
  <c r="AO28" i="4"/>
  <c r="M28" i="4"/>
  <c r="AF28" i="4"/>
  <c r="O28" i="4"/>
  <c r="AQ28" i="4"/>
  <c r="G51" i="1"/>
  <c r="G35" i="1"/>
  <c r="K8" i="4"/>
  <c r="AA8" i="4"/>
  <c r="AQ8" i="4"/>
  <c r="R8" i="4"/>
  <c r="AH8" i="4"/>
  <c r="S8" i="4"/>
  <c r="AK8" i="4"/>
  <c r="N8" i="4"/>
  <c r="AF8" i="4"/>
  <c r="U8" i="4"/>
  <c r="AM8" i="4"/>
  <c r="P8" i="4"/>
  <c r="AJ8" i="4"/>
  <c r="W8" i="4"/>
  <c r="AU8" i="4"/>
  <c r="AB8" i="4"/>
  <c r="Y8" i="4"/>
  <c r="H8" i="4"/>
  <c r="H7" i="8" s="1"/>
  <c r="J7" i="8" s="1"/>
  <c r="AD8" i="4"/>
  <c r="AC8" i="4"/>
  <c r="J8" i="4"/>
  <c r="AL8" i="4"/>
  <c r="M8" i="4"/>
  <c r="L8" i="4"/>
  <c r="AT8" i="4"/>
  <c r="Q8" i="4"/>
  <c r="V8" i="4"/>
  <c r="AI8" i="4"/>
  <c r="O8" i="4"/>
  <c r="T8" i="4"/>
  <c r="AV8" i="4"/>
  <c r="AG8" i="4"/>
  <c r="Z8" i="4"/>
  <c r="AN8" i="4"/>
  <c r="AE8" i="4"/>
  <c r="X8" i="4"/>
  <c r="I8" i="4"/>
  <c r="I19" i="1" s="1"/>
  <c r="AS8" i="4"/>
  <c r="AP8" i="4"/>
  <c r="AR8" i="4"/>
  <c r="AO8" i="4"/>
  <c r="G31" i="4"/>
  <c r="E31" i="4"/>
  <c r="F31" i="4" s="1"/>
  <c r="Y34" i="4"/>
  <c r="AO34" i="4"/>
  <c r="M34" i="4"/>
  <c r="AE34" i="4"/>
  <c r="H34" i="4"/>
  <c r="H33" i="8" s="1"/>
  <c r="J33" i="8" s="1"/>
  <c r="X34" i="4"/>
  <c r="AN34" i="4"/>
  <c r="O34" i="4"/>
  <c r="AG34" i="4"/>
  <c r="J34" i="4"/>
  <c r="Z34" i="4"/>
  <c r="AP34" i="4"/>
  <c r="Q34" i="4"/>
  <c r="AI34" i="4"/>
  <c r="L34" i="4"/>
  <c r="AB34" i="4"/>
  <c r="AR34" i="4"/>
  <c r="W34" i="4"/>
  <c r="N34" i="4"/>
  <c r="AJ34" i="4"/>
  <c r="R34" i="4"/>
  <c r="I34" i="4"/>
  <c r="I45" i="1" s="1"/>
  <c r="AA34" i="4"/>
  <c r="P34" i="4"/>
  <c r="AL34" i="4"/>
  <c r="AC34" i="4"/>
  <c r="AT34" i="4"/>
  <c r="AM34" i="4"/>
  <c r="AK34" i="4"/>
  <c r="T34" i="4"/>
  <c r="AV34" i="4"/>
  <c r="V34" i="4"/>
  <c r="K34" i="4"/>
  <c r="AH34" i="4"/>
  <c r="AF34" i="4"/>
  <c r="S34" i="4"/>
  <c r="U34" i="4"/>
  <c r="AD34" i="4"/>
  <c r="AQ34" i="4"/>
  <c r="AS34" i="4"/>
  <c r="AU34" i="4"/>
  <c r="S20" i="4"/>
  <c r="AI20" i="4"/>
  <c r="K20" i="4"/>
  <c r="AC20" i="4"/>
  <c r="AU20" i="4"/>
  <c r="V20" i="4"/>
  <c r="AL20" i="4"/>
  <c r="U20" i="4"/>
  <c r="AM20" i="4"/>
  <c r="N20" i="4"/>
  <c r="AD20" i="4"/>
  <c r="AT20" i="4"/>
  <c r="M20" i="4"/>
  <c r="AK20" i="4"/>
  <c r="R20" i="4"/>
  <c r="AN20" i="4"/>
  <c r="O20" i="4"/>
  <c r="AO20" i="4"/>
  <c r="T20" i="4"/>
  <c r="AP20" i="4"/>
  <c r="Q20" i="4"/>
  <c r="AQ20" i="4"/>
  <c r="X20" i="4"/>
  <c r="AR20" i="4"/>
  <c r="I20" i="4"/>
  <c r="I31" i="1" s="1"/>
  <c r="AE20" i="4"/>
  <c r="L20" i="4"/>
  <c r="AH20" i="4"/>
  <c r="H20" i="4"/>
  <c r="H19" i="8" s="1"/>
  <c r="J19" i="8" s="1"/>
  <c r="J20" i="4"/>
  <c r="AG20" i="4"/>
  <c r="AJ20" i="4"/>
  <c r="AS20" i="4"/>
  <c r="P20" i="4"/>
  <c r="Z20" i="4"/>
  <c r="Y20" i="4"/>
  <c r="AB20" i="4"/>
  <c r="AF20" i="4"/>
  <c r="AV20" i="4"/>
  <c r="W20" i="4"/>
  <c r="AA20" i="4"/>
  <c r="F33" i="8"/>
  <c r="F24" i="8"/>
  <c r="G48" i="1"/>
  <c r="G59" i="1"/>
  <c r="G39" i="1"/>
  <c r="G21" i="1"/>
  <c r="G33" i="1"/>
  <c r="G54" i="1"/>
  <c r="G69" i="1"/>
  <c r="G38" i="1"/>
  <c r="G28" i="1"/>
  <c r="G44" i="1"/>
  <c r="G64" i="1"/>
  <c r="G27" i="1"/>
  <c r="G55" i="1"/>
  <c r="G58" i="1"/>
  <c r="G19" i="1"/>
  <c r="G32" i="1"/>
  <c r="G29" i="1"/>
  <c r="G53" i="1"/>
  <c r="G41" i="1"/>
  <c r="G42" i="1"/>
  <c r="G65" i="1"/>
  <c r="G24" i="1"/>
  <c r="G72" i="1"/>
  <c r="G40" i="1"/>
  <c r="G49" i="1"/>
  <c r="G70" i="1"/>
  <c r="G25" i="1"/>
  <c r="G50" i="1"/>
  <c r="G45" i="1"/>
  <c r="G71" i="1"/>
  <c r="G18" i="1"/>
  <c r="G31" i="1"/>
  <c r="G22" i="1"/>
  <c r="G17" i="1"/>
  <c r="AN67" i="13"/>
  <c r="AO10" i="13"/>
  <c r="G47" i="1"/>
  <c r="F32" i="8"/>
  <c r="G26" i="1"/>
  <c r="G53" i="4"/>
  <c r="E53" i="4"/>
  <c r="F53" i="4" s="1"/>
  <c r="G37" i="1"/>
  <c r="G74" i="1"/>
  <c r="F51" i="8"/>
  <c r="F14" i="8"/>
  <c r="G57" i="1"/>
  <c r="F39" i="8"/>
  <c r="F30" i="8"/>
  <c r="G23" i="1"/>
  <c r="G52" i="1"/>
  <c r="G9" i="4"/>
  <c r="E9" i="4"/>
  <c r="F9" i="4" s="1"/>
  <c r="G59" i="4"/>
  <c r="E59" i="4"/>
  <c r="F59" i="4" s="1"/>
  <c r="G68" i="1"/>
  <c r="G67" i="1"/>
  <c r="E24" i="4"/>
  <c r="F24" i="4" s="1"/>
  <c r="G24" i="4"/>
  <c r="F42" i="8"/>
  <c r="F12" i="8"/>
  <c r="D12" i="8"/>
  <c r="F7" i="8"/>
  <c r="P37" i="4"/>
  <c r="AF37" i="4"/>
  <c r="AV37" i="4"/>
  <c r="U37" i="4"/>
  <c r="AK37" i="4"/>
  <c r="R37" i="4"/>
  <c r="AH37" i="4"/>
  <c r="I37" i="4"/>
  <c r="I48" i="1" s="1"/>
  <c r="W37" i="4"/>
  <c r="AM37" i="4"/>
  <c r="J37" i="4"/>
  <c r="Z37" i="4"/>
  <c r="AP37" i="4"/>
  <c r="O37" i="4"/>
  <c r="AE37" i="4"/>
  <c r="AU37" i="4"/>
  <c r="N37" i="4"/>
  <c r="AN37" i="4"/>
  <c r="Y37" i="4"/>
  <c r="T37" i="4"/>
  <c r="AR37" i="4"/>
  <c r="AA37" i="4"/>
  <c r="H37" i="4"/>
  <c r="H36" i="8" s="1"/>
  <c r="J36" i="8" s="1"/>
  <c r="AD37" i="4"/>
  <c r="M37" i="4"/>
  <c r="AO37" i="4"/>
  <c r="V37" i="4"/>
  <c r="Q37" i="4"/>
  <c r="X37" i="4"/>
  <c r="S37" i="4"/>
  <c r="AB37" i="4"/>
  <c r="AC37" i="4"/>
  <c r="AS37" i="4"/>
  <c r="AL37" i="4"/>
  <c r="AT37" i="4"/>
  <c r="L37" i="4"/>
  <c r="K37" i="4"/>
  <c r="AG37" i="4"/>
  <c r="AI37" i="4"/>
  <c r="AJ37" i="4"/>
  <c r="AQ37" i="4"/>
  <c r="E46" i="4"/>
  <c r="F46" i="4" s="1"/>
  <c r="G46" i="4"/>
  <c r="E19" i="4"/>
  <c r="F19" i="4" s="1"/>
  <c r="G19" i="4"/>
  <c r="G51" i="4"/>
  <c r="E51" i="4"/>
  <c r="F51" i="4" s="1"/>
  <c r="F49" i="8"/>
  <c r="F35" i="8"/>
  <c r="O38" i="4"/>
  <c r="AO38" i="4"/>
  <c r="AD38" i="4"/>
  <c r="AC38" i="4"/>
  <c r="F55" i="8"/>
  <c r="F31" i="8"/>
  <c r="E56" i="4"/>
  <c r="F56" i="4" s="1"/>
  <c r="G56" i="4"/>
  <c r="F9" i="8"/>
  <c r="G73" i="1"/>
  <c r="E43" i="4"/>
  <c r="F43" i="4" s="1"/>
  <c r="G43" i="4"/>
  <c r="X23" i="4"/>
  <c r="AN23" i="4"/>
  <c r="M23" i="4"/>
  <c r="AC23" i="4"/>
  <c r="AS23" i="4"/>
  <c r="J23" i="4"/>
  <c r="Z23" i="4"/>
  <c r="AP23" i="4"/>
  <c r="O23" i="4"/>
  <c r="AE23" i="4"/>
  <c r="AU23" i="4"/>
  <c r="T23" i="4"/>
  <c r="AJ23" i="4"/>
  <c r="Y23" i="4"/>
  <c r="AO23" i="4"/>
  <c r="L23" i="4"/>
  <c r="AH23" i="4"/>
  <c r="S23" i="4"/>
  <c r="AQ23" i="4"/>
  <c r="N23" i="4"/>
  <c r="AL23" i="4"/>
  <c r="U23" i="4"/>
  <c r="P23" i="4"/>
  <c r="AR23" i="4"/>
  <c r="W23" i="4"/>
  <c r="AD23" i="4"/>
  <c r="K23" i="4"/>
  <c r="AK23" i="4"/>
  <c r="I23" i="4"/>
  <c r="I34" i="1" s="1"/>
  <c r="AA23" i="4"/>
  <c r="AG23" i="4"/>
  <c r="AB23" i="4"/>
  <c r="AM23" i="4"/>
  <c r="H23" i="4"/>
  <c r="H22" i="8" s="1"/>
  <c r="J22" i="8" s="1"/>
  <c r="Q23" i="4"/>
  <c r="R23" i="4"/>
  <c r="V23" i="4"/>
  <c r="AI23" i="4"/>
  <c r="AF23" i="4"/>
  <c r="AT23" i="4"/>
  <c r="AV23" i="4"/>
  <c r="G36" i="1"/>
  <c r="G62" i="1"/>
  <c r="F54" i="8"/>
  <c r="E45" i="4"/>
  <c r="F45" i="4" s="1"/>
  <c r="G45" i="4"/>
  <c r="F25" i="8"/>
  <c r="G27" i="4"/>
  <c r="E27" i="4"/>
  <c r="F27" i="4" s="1"/>
  <c r="G46" i="1"/>
  <c r="G60" i="1"/>
  <c r="F13" i="8"/>
  <c r="F60" i="8"/>
  <c r="F18" i="8"/>
  <c r="S47" i="4"/>
  <c r="AI47" i="4"/>
  <c r="X47" i="4"/>
  <c r="AN47" i="4"/>
  <c r="I47" i="4"/>
  <c r="I58" i="1" s="1"/>
  <c r="Y47" i="4"/>
  <c r="AQ47" i="4"/>
  <c r="W47" i="4"/>
  <c r="AS47" i="4"/>
  <c r="T47" i="4"/>
  <c r="AL47" i="4"/>
  <c r="AA47" i="4"/>
  <c r="AU47" i="4"/>
  <c r="V47" i="4"/>
  <c r="AP47" i="4"/>
  <c r="AC47" i="4"/>
  <c r="H47" i="4"/>
  <c r="H46" i="8" s="1"/>
  <c r="J46" i="8" s="1"/>
  <c r="Z47" i="4"/>
  <c r="AR47" i="4"/>
  <c r="Q47" i="4"/>
  <c r="AM47" i="4"/>
  <c r="P47" i="4"/>
  <c r="AH47" i="4"/>
  <c r="K47" i="4"/>
  <c r="J47" i="4"/>
  <c r="AT47" i="4"/>
  <c r="M47" i="4"/>
  <c r="L47" i="4"/>
  <c r="AV47" i="4"/>
  <c r="O47" i="4"/>
  <c r="N47" i="4"/>
  <c r="AK47" i="4"/>
  <c r="AF47" i="4"/>
  <c r="AO47" i="4"/>
  <c r="AJ47" i="4"/>
  <c r="U47" i="4"/>
  <c r="R47" i="4"/>
  <c r="AB47" i="4"/>
  <c r="AD47" i="4"/>
  <c r="AE47" i="4"/>
  <c r="AG47" i="4"/>
  <c r="G57" i="4"/>
  <c r="E57" i="4"/>
  <c r="F57" i="4" s="1"/>
  <c r="F17" i="8"/>
  <c r="F46" i="8"/>
  <c r="F38" i="8"/>
  <c r="E49" i="4"/>
  <c r="F49" i="4" s="1"/>
  <c r="G49" i="4"/>
  <c r="F10" i="8"/>
  <c r="H50" i="4"/>
  <c r="H49" i="8" s="1"/>
  <c r="J49" i="8" s="1"/>
  <c r="V50" i="4"/>
  <c r="AL50" i="4"/>
  <c r="K50" i="4"/>
  <c r="AA50" i="4"/>
  <c r="AQ50" i="4"/>
  <c r="R50" i="4"/>
  <c r="AJ50" i="4"/>
  <c r="M50" i="4"/>
  <c r="AE50" i="4"/>
  <c r="T50" i="4"/>
  <c r="AN50" i="4"/>
  <c r="O50" i="4"/>
  <c r="AG50" i="4"/>
  <c r="X50" i="4"/>
  <c r="AP50" i="4"/>
  <c r="Q50" i="4"/>
  <c r="AI50" i="4"/>
  <c r="N50" i="4"/>
  <c r="AF50" i="4"/>
  <c r="I50" i="4"/>
  <c r="I61" i="1" s="1"/>
  <c r="Y50" i="4"/>
  <c r="AS50" i="4"/>
  <c r="Z50" i="4"/>
  <c r="S50" i="4"/>
  <c r="AB50" i="4"/>
  <c r="U50" i="4"/>
  <c r="AD50" i="4"/>
  <c r="W50" i="4"/>
  <c r="L50" i="4"/>
  <c r="AV50" i="4"/>
  <c r="AO50" i="4"/>
  <c r="P50" i="4"/>
  <c r="AU50" i="4"/>
  <c r="AR50" i="4"/>
  <c r="AK50" i="4"/>
  <c r="AT50" i="4"/>
  <c r="AM50" i="4"/>
  <c r="AC50" i="4"/>
  <c r="J50" i="4"/>
  <c r="AH50" i="4"/>
  <c r="F56" i="8"/>
  <c r="F45" i="8"/>
  <c r="F16" i="8"/>
  <c r="G34" i="1"/>
  <c r="F27" i="8"/>
  <c r="F62" i="8"/>
  <c r="F20" i="8"/>
  <c r="F47" i="8"/>
  <c r="F29" i="8"/>
  <c r="G66" i="1"/>
  <c r="G63" i="4"/>
  <c r="E63" i="4"/>
  <c r="F63" i="4" s="1"/>
  <c r="F34" i="8"/>
  <c r="F44" i="8"/>
  <c r="F52" i="8"/>
  <c r="G35" i="4"/>
  <c r="E35" i="4"/>
  <c r="F35" i="4" s="1"/>
  <c r="F40" i="8"/>
  <c r="F59" i="8"/>
  <c r="F43" i="8"/>
  <c r="F19" i="8"/>
  <c r="F22" i="8"/>
  <c r="G56" i="1"/>
  <c r="F5" i="8"/>
  <c r="M63" i="8"/>
  <c r="O26" i="4"/>
  <c r="AE26" i="4"/>
  <c r="AU26" i="4"/>
  <c r="T26" i="4"/>
  <c r="AJ26" i="4"/>
  <c r="Q26" i="4"/>
  <c r="AG26" i="4"/>
  <c r="H26" i="4"/>
  <c r="H25" i="8" s="1"/>
  <c r="J25" i="8" s="1"/>
  <c r="V26" i="4"/>
  <c r="AL26" i="4"/>
  <c r="Y26" i="4"/>
  <c r="AO26" i="4"/>
  <c r="N26" i="4"/>
  <c r="AD26" i="4"/>
  <c r="AT26" i="4"/>
  <c r="W26" i="4"/>
  <c r="AF26" i="4"/>
  <c r="K26" i="4"/>
  <c r="AK26" i="4"/>
  <c r="R26" i="4"/>
  <c r="AR26" i="4"/>
  <c r="AI26" i="4"/>
  <c r="Z26" i="4"/>
  <c r="AM26" i="4"/>
  <c r="AB26" i="4"/>
  <c r="I26" i="4"/>
  <c r="I37" i="1" s="1"/>
  <c r="AQ26" i="4"/>
  <c r="AH26" i="4"/>
  <c r="AA26" i="4"/>
  <c r="P26" i="4"/>
  <c r="X26" i="4"/>
  <c r="M26" i="4"/>
  <c r="AN26" i="4"/>
  <c r="J26" i="4"/>
  <c r="U26" i="4"/>
  <c r="AC26" i="4"/>
  <c r="AS26" i="4"/>
  <c r="S26" i="4"/>
  <c r="AV26" i="4"/>
  <c r="AP26" i="4"/>
  <c r="L26" i="4"/>
  <c r="Q12" i="4"/>
  <c r="AG12" i="4"/>
  <c r="H12" i="4"/>
  <c r="H11" i="8" s="1"/>
  <c r="V12" i="4"/>
  <c r="AL12" i="4"/>
  <c r="S12" i="4"/>
  <c r="AI12" i="4"/>
  <c r="X12" i="4"/>
  <c r="AN12" i="4"/>
  <c r="U12" i="4"/>
  <c r="AK12" i="4"/>
  <c r="M12" i="4"/>
  <c r="AC12" i="4"/>
  <c r="AS12" i="4"/>
  <c r="R12" i="4"/>
  <c r="AH12" i="4"/>
  <c r="I12" i="4"/>
  <c r="I23" i="1" s="1"/>
  <c r="AM12" i="4"/>
  <c r="T12" i="4"/>
  <c r="AT12" i="4"/>
  <c r="AO12" i="4"/>
  <c r="Z12" i="4"/>
  <c r="AV12" i="4"/>
  <c r="AA12" i="4"/>
  <c r="N12" i="4"/>
  <c r="AP12" i="4"/>
  <c r="K12" i="4"/>
  <c r="L12" i="4"/>
  <c r="O12" i="4"/>
  <c r="P12" i="4"/>
  <c r="W12" i="4"/>
  <c r="AB12" i="4"/>
  <c r="AU12" i="4"/>
  <c r="AR12" i="4"/>
  <c r="AF12" i="4"/>
  <c r="AJ12" i="4"/>
  <c r="Y12" i="4"/>
  <c r="J12" i="4"/>
  <c r="AD12" i="4"/>
  <c r="AE12" i="4"/>
  <c r="AQ12" i="4"/>
  <c r="G63" i="1"/>
  <c r="F8" i="8"/>
  <c r="F23" i="8"/>
  <c r="G6" i="4"/>
  <c r="E6" i="4"/>
  <c r="G30" i="1"/>
  <c r="F21" i="8"/>
  <c r="E11" i="4"/>
  <c r="F11" i="4" s="1"/>
  <c r="G11" i="4"/>
  <c r="F61" i="8"/>
  <c r="F48" i="8"/>
  <c r="E55" i="4"/>
  <c r="F55" i="4" s="1"/>
  <c r="G55" i="4"/>
  <c r="F58" i="8"/>
  <c r="F28" i="8"/>
  <c r="F36" i="8"/>
  <c r="G52" i="4"/>
  <c r="E52" i="4"/>
  <c r="F52" i="4" s="1"/>
  <c r="AR38" i="4" l="1"/>
  <c r="AT38" i="4"/>
  <c r="Z38" i="4"/>
  <c r="M38" i="4"/>
  <c r="J38" i="4"/>
  <c r="R38" i="4"/>
  <c r="AN48" i="4"/>
  <c r="N48" i="4"/>
  <c r="AA17" i="4"/>
  <c r="X17" i="4"/>
  <c r="AG17" i="4"/>
  <c r="D9" i="8"/>
  <c r="D21" i="8"/>
  <c r="AC41" i="4"/>
  <c r="H17" i="4"/>
  <c r="H16" i="8" s="1"/>
  <c r="J16" i="8" s="1"/>
  <c r="AT41" i="4"/>
  <c r="AI17" i="4"/>
  <c r="H48" i="4"/>
  <c r="H47" i="8" s="1"/>
  <c r="J47" i="8" s="1"/>
  <c r="X48" i="4"/>
  <c r="AJ17" i="4"/>
  <c r="V38" i="4"/>
  <c r="L38" i="4"/>
  <c r="D31" i="8"/>
  <c r="AL38" i="4"/>
  <c r="AA38" i="4"/>
  <c r="AJ38" i="4"/>
  <c r="AM38" i="4"/>
  <c r="AN38" i="4"/>
  <c r="AF41" i="4"/>
  <c r="AH38" i="4"/>
  <c r="AF38" i="4"/>
  <c r="W38" i="4"/>
  <c r="X38" i="4"/>
  <c r="H41" i="4"/>
  <c r="H40" i="8" s="1"/>
  <c r="J40" i="8" s="1"/>
  <c r="AV38" i="4"/>
  <c r="AB38" i="4"/>
  <c r="AK38" i="4"/>
  <c r="AS38" i="4"/>
  <c r="AG38" i="4"/>
  <c r="U38" i="4"/>
  <c r="T38" i="4"/>
  <c r="N38" i="4"/>
  <c r="AQ38" i="4"/>
  <c r="AU38" i="4"/>
  <c r="I38" i="4"/>
  <c r="I49" i="1" s="1"/>
  <c r="AI38" i="4"/>
  <c r="AU41" i="4"/>
  <c r="AI41" i="4"/>
  <c r="H38" i="4"/>
  <c r="H37" i="8" s="1"/>
  <c r="J37" i="8" s="1"/>
  <c r="P38" i="4"/>
  <c r="Q38" i="4"/>
  <c r="Y38" i="4"/>
  <c r="K38" i="4"/>
  <c r="AE38" i="4"/>
  <c r="AP38" i="4"/>
  <c r="AP41" i="4"/>
  <c r="AQ48" i="4"/>
  <c r="L48" i="4"/>
  <c r="AE17" i="4"/>
  <c r="W48" i="4"/>
  <c r="N17" i="4"/>
  <c r="Y17" i="4"/>
  <c r="AB48" i="4"/>
  <c r="Q17" i="4"/>
  <c r="L17" i="4"/>
  <c r="I60" i="4"/>
  <c r="I71" i="1" s="1"/>
  <c r="W60" i="4"/>
  <c r="O48" i="4"/>
  <c r="J48" i="4"/>
  <c r="V17" i="4"/>
  <c r="AV17" i="4"/>
  <c r="AH17" i="4"/>
  <c r="AO17" i="4"/>
  <c r="AG48" i="4"/>
  <c r="AP48" i="4"/>
  <c r="AC17" i="4"/>
  <c r="M17" i="4"/>
  <c r="AE48" i="4"/>
  <c r="AD48" i="4"/>
  <c r="AU48" i="4"/>
  <c r="M48" i="4"/>
  <c r="S48" i="4"/>
  <c r="U48" i="4"/>
  <c r="AR17" i="4"/>
  <c r="AB17" i="4"/>
  <c r="O17" i="4"/>
  <c r="S17" i="4"/>
  <c r="AM17" i="4"/>
  <c r="R41" i="4"/>
  <c r="AM48" i="4"/>
  <c r="AA48" i="4"/>
  <c r="K48" i="4"/>
  <c r="AL48" i="4"/>
  <c r="AR48" i="4"/>
  <c r="AV48" i="4"/>
  <c r="K17" i="4"/>
  <c r="U17" i="4"/>
  <c r="AU17" i="4"/>
  <c r="AS17" i="4"/>
  <c r="W17" i="4"/>
  <c r="AK48" i="4"/>
  <c r="Y48" i="4"/>
  <c r="R48" i="4"/>
  <c r="T48" i="4"/>
  <c r="Z48" i="4"/>
  <c r="AF48" i="4"/>
  <c r="R17" i="4"/>
  <c r="AF17" i="4"/>
  <c r="AT17" i="4"/>
  <c r="P17" i="4"/>
  <c r="I17" i="4"/>
  <c r="I28" i="1" s="1"/>
  <c r="AJ48" i="4"/>
  <c r="V48" i="4"/>
  <c r="AS48" i="4"/>
  <c r="AO48" i="4"/>
  <c r="AI48" i="4"/>
  <c r="AN17" i="4"/>
  <c r="AP17" i="4"/>
  <c r="AK17" i="4"/>
  <c r="AL17" i="4"/>
  <c r="AQ41" i="4"/>
  <c r="AB41" i="4"/>
  <c r="O41" i="4"/>
  <c r="X41" i="4"/>
  <c r="AJ41" i="4"/>
  <c r="AO41" i="4"/>
  <c r="AH48" i="4"/>
  <c r="AC48" i="4"/>
  <c r="I48" i="4"/>
  <c r="I59" i="1" s="1"/>
  <c r="AT48" i="4"/>
  <c r="Q48" i="4"/>
  <c r="AD17" i="4"/>
  <c r="T17" i="4"/>
  <c r="J17" i="4"/>
  <c r="Z17" i="4"/>
  <c r="Z41" i="4"/>
  <c r="AG41" i="4"/>
  <c r="P41" i="4"/>
  <c r="S41" i="4"/>
  <c r="Q41" i="4"/>
  <c r="U41" i="4"/>
  <c r="M41" i="4"/>
  <c r="AV41" i="4"/>
  <c r="AE41" i="4"/>
  <c r="L41" i="4"/>
  <c r="I41" i="4"/>
  <c r="I52" i="1" s="1"/>
  <c r="AM41" i="4"/>
  <c r="Y41" i="4"/>
  <c r="AN41" i="4"/>
  <c r="AS41" i="4"/>
  <c r="V41" i="4"/>
  <c r="AH41" i="4"/>
  <c r="K41" i="4"/>
  <c r="T41" i="4"/>
  <c r="W41" i="4"/>
  <c r="AR41" i="4"/>
  <c r="AK41" i="4"/>
  <c r="AD41" i="4"/>
  <c r="AA41" i="4"/>
  <c r="N41" i="4"/>
  <c r="AF36" i="4"/>
  <c r="D53" i="8"/>
  <c r="AG36" i="4"/>
  <c r="D43" i="8"/>
  <c r="AH36" i="4"/>
  <c r="AQ36" i="4"/>
  <c r="Y36" i="4"/>
  <c r="AD36" i="4"/>
  <c r="U36" i="4"/>
  <c r="AI36" i="4"/>
  <c r="K36" i="4"/>
  <c r="AV33" i="4"/>
  <c r="AC36" i="4"/>
  <c r="Z36" i="4"/>
  <c r="AN36" i="4"/>
  <c r="D27" i="8"/>
  <c r="L36" i="4"/>
  <c r="AS36" i="4"/>
  <c r="AO40" i="4"/>
  <c r="AM36" i="4"/>
  <c r="T36" i="4"/>
  <c r="P36" i="4"/>
  <c r="AO36" i="4"/>
  <c r="N36" i="4"/>
  <c r="R36" i="4"/>
  <c r="K60" i="4"/>
  <c r="L40" i="4"/>
  <c r="AG33" i="4"/>
  <c r="O40" i="4"/>
  <c r="B67" i="4"/>
  <c r="R15" i="1" s="1"/>
  <c r="AB36" i="4"/>
  <c r="AR36" i="4"/>
  <c r="J36" i="4"/>
  <c r="V36" i="4"/>
  <c r="AJ36" i="4"/>
  <c r="O60" i="4"/>
  <c r="K33" i="4"/>
  <c r="AJ40" i="4"/>
  <c r="S36" i="4"/>
  <c r="W36" i="4"/>
  <c r="AP36" i="4"/>
  <c r="AA36" i="4"/>
  <c r="AU36" i="4"/>
  <c r="AH33" i="4"/>
  <c r="AE40" i="4"/>
  <c r="AH40" i="4"/>
  <c r="Q36" i="4"/>
  <c r="AK36" i="4"/>
  <c r="X36" i="4"/>
  <c r="I36" i="4"/>
  <c r="I47" i="1" s="1"/>
  <c r="AE36" i="4"/>
  <c r="J33" i="4"/>
  <c r="AN40" i="4"/>
  <c r="M36" i="4"/>
  <c r="AV36" i="4"/>
  <c r="AT36" i="4"/>
  <c r="H36" i="4"/>
  <c r="H35" i="8" s="1"/>
  <c r="J35" i="8" s="1"/>
  <c r="AL36" i="4"/>
  <c r="S33" i="4"/>
  <c r="J40" i="4"/>
  <c r="AA33" i="4"/>
  <c r="AN33" i="4"/>
  <c r="P60" i="4"/>
  <c r="AN60" i="4"/>
  <c r="AT60" i="4"/>
  <c r="R33" i="4"/>
  <c r="AK33" i="4"/>
  <c r="H60" i="4"/>
  <c r="H59" i="8" s="1"/>
  <c r="J59" i="8" s="1"/>
  <c r="AP60" i="4"/>
  <c r="AD60" i="4"/>
  <c r="P33" i="4"/>
  <c r="U33" i="4"/>
  <c r="AK60" i="4"/>
  <c r="V60" i="4"/>
  <c r="AU60" i="4"/>
  <c r="AS33" i="4"/>
  <c r="AA60" i="4"/>
  <c r="AJ60" i="4"/>
  <c r="AE33" i="4"/>
  <c r="W33" i="4"/>
  <c r="T40" i="4"/>
  <c r="N40" i="4"/>
  <c r="AC40" i="4"/>
  <c r="K40" i="4"/>
  <c r="AK40" i="4"/>
  <c r="M40" i="4"/>
  <c r="Z40" i="4"/>
  <c r="H40" i="4"/>
  <c r="H39" i="8" s="1"/>
  <c r="D49" i="8"/>
  <c r="S60" i="4"/>
  <c r="Q40" i="4"/>
  <c r="AB40" i="4"/>
  <c r="AU40" i="4"/>
  <c r="AQ40" i="4"/>
  <c r="AL40" i="4"/>
  <c r="AT40" i="4"/>
  <c r="Y40" i="4"/>
  <c r="AV40" i="4"/>
  <c r="P40" i="4"/>
  <c r="AS40" i="4"/>
  <c r="W40" i="4"/>
  <c r="AA40" i="4"/>
  <c r="AM40" i="4"/>
  <c r="AF40" i="4"/>
  <c r="I40" i="4"/>
  <c r="I51" i="1" s="1"/>
  <c r="AD40" i="4"/>
  <c r="R40" i="4"/>
  <c r="S40" i="4"/>
  <c r="AR40" i="4"/>
  <c r="AP40" i="4"/>
  <c r="AI40" i="4"/>
  <c r="AG40" i="4"/>
  <c r="X40" i="4"/>
  <c r="V40" i="4"/>
  <c r="F6" i="8"/>
  <c r="AR33" i="4"/>
  <c r="AM33" i="4"/>
  <c r="R27" i="1"/>
  <c r="R22" i="1"/>
  <c r="R21" i="1"/>
  <c r="R20" i="1"/>
  <c r="D36" i="8"/>
  <c r="AO33" i="4"/>
  <c r="AC33" i="4"/>
  <c r="V33" i="4"/>
  <c r="Z33" i="4"/>
  <c r="T33" i="4"/>
  <c r="AJ33" i="4"/>
  <c r="AP33" i="4"/>
  <c r="AT33" i="4"/>
  <c r="AI60" i="4"/>
  <c r="AM60" i="4"/>
  <c r="X60" i="4"/>
  <c r="AV60" i="4"/>
  <c r="AE60" i="4"/>
  <c r="AQ60" i="4"/>
  <c r="AS60" i="4"/>
  <c r="Z60" i="4"/>
  <c r="Y60" i="4"/>
  <c r="AH60" i="4"/>
  <c r="AG60" i="4"/>
  <c r="N60" i="4"/>
  <c r="J60" i="4"/>
  <c r="Q60" i="4"/>
  <c r="AO60" i="4"/>
  <c r="R60" i="4"/>
  <c r="L60" i="4"/>
  <c r="AF60" i="4"/>
  <c r="AR60" i="4"/>
  <c r="U60" i="4"/>
  <c r="T60" i="4"/>
  <c r="AB60" i="4"/>
  <c r="AC60" i="4"/>
  <c r="M60" i="4"/>
  <c r="H33" i="4"/>
  <c r="H32" i="8" s="1"/>
  <c r="J32" i="8" s="1"/>
  <c r="AU33" i="4"/>
  <c r="L33" i="4"/>
  <c r="X33" i="4"/>
  <c r="AD33" i="4"/>
  <c r="J21" i="4"/>
  <c r="H21" i="4"/>
  <c r="H20" i="8" s="1"/>
  <c r="AH21" i="4"/>
  <c r="M21" i="4"/>
  <c r="AO21" i="4"/>
  <c r="AV21" i="4"/>
  <c r="I21" i="4"/>
  <c r="I32" i="1" s="1"/>
  <c r="K21" i="4"/>
  <c r="AJ21" i="4"/>
  <c r="U21" i="4"/>
  <c r="AQ21" i="4"/>
  <c r="P21" i="4"/>
  <c r="W21" i="4"/>
  <c r="T21" i="4"/>
  <c r="AA21" i="4"/>
  <c r="AM21" i="4"/>
  <c r="AL21" i="4"/>
  <c r="AS21" i="4"/>
  <c r="AC21" i="4"/>
  <c r="X21" i="4"/>
  <c r="AF21" i="4"/>
  <c r="R21" i="4"/>
  <c r="AN21" i="4"/>
  <c r="Y21" i="4"/>
  <c r="V21" i="4"/>
  <c r="AK21" i="4"/>
  <c r="N21" i="4"/>
  <c r="AR21" i="4"/>
  <c r="AU21" i="4"/>
  <c r="AT21" i="4"/>
  <c r="AB21" i="4"/>
  <c r="AE21" i="4"/>
  <c r="S21" i="4"/>
  <c r="L21" i="4"/>
  <c r="O21" i="4"/>
  <c r="AI21" i="4"/>
  <c r="AG21" i="4"/>
  <c r="AP21" i="4"/>
  <c r="Z21" i="4"/>
  <c r="AD21" i="4"/>
  <c r="Q21" i="4"/>
  <c r="AF33" i="4"/>
  <c r="M33" i="4"/>
  <c r="Y33" i="4"/>
  <c r="AQ33" i="4"/>
  <c r="AI33" i="4"/>
  <c r="N33" i="4"/>
  <c r="J29" i="4"/>
  <c r="AF29" i="4"/>
  <c r="O29" i="4"/>
  <c r="AQ29" i="4"/>
  <c r="AT29" i="4"/>
  <c r="AV29" i="4"/>
  <c r="K29" i="4"/>
  <c r="AM29" i="4"/>
  <c r="L29" i="4"/>
  <c r="AJ29" i="4"/>
  <c r="U29" i="4"/>
  <c r="AS29" i="4"/>
  <c r="AB29" i="4"/>
  <c r="M29" i="4"/>
  <c r="N29" i="4"/>
  <c r="AL29" i="4"/>
  <c r="W29" i="4"/>
  <c r="AU29" i="4"/>
  <c r="AC29" i="4"/>
  <c r="AG29" i="4"/>
  <c r="P29" i="4"/>
  <c r="AR29" i="4"/>
  <c r="AA29" i="4"/>
  <c r="T29" i="4"/>
  <c r="Z29" i="4"/>
  <c r="AE29" i="4"/>
  <c r="AD29" i="4"/>
  <c r="V29" i="4"/>
  <c r="AK29" i="4"/>
  <c r="H29" i="4"/>
  <c r="H28" i="8" s="1"/>
  <c r="X29" i="4"/>
  <c r="AN29" i="4"/>
  <c r="AH29" i="4"/>
  <c r="AO29" i="4"/>
  <c r="S29" i="4"/>
  <c r="Q29" i="4"/>
  <c r="Y29" i="4"/>
  <c r="R29" i="4"/>
  <c r="AI29" i="4"/>
  <c r="I29" i="4"/>
  <c r="I40" i="1" s="1"/>
  <c r="AP29" i="4"/>
  <c r="R26" i="1"/>
  <c r="AB33" i="4"/>
  <c r="I33" i="4"/>
  <c r="I44" i="1" s="1"/>
  <c r="AL33" i="4"/>
  <c r="O33" i="4"/>
  <c r="U16" i="4"/>
  <c r="AM16" i="4"/>
  <c r="R16" i="4"/>
  <c r="AJ16" i="4"/>
  <c r="AE16" i="4"/>
  <c r="AV16" i="4"/>
  <c r="N16" i="4"/>
  <c r="P16" i="4"/>
  <c r="W16" i="4"/>
  <c r="AO16" i="4"/>
  <c r="T16" i="4"/>
  <c r="AL16" i="4"/>
  <c r="K16" i="4"/>
  <c r="AT16" i="4"/>
  <c r="M16" i="4"/>
  <c r="AD16" i="4"/>
  <c r="O16" i="4"/>
  <c r="AU16" i="4"/>
  <c r="AS16" i="4"/>
  <c r="Y16" i="4"/>
  <c r="AQ16" i="4"/>
  <c r="V16" i="4"/>
  <c r="AN16" i="4"/>
  <c r="AC16" i="4"/>
  <c r="AB16" i="4"/>
  <c r="AF16" i="4"/>
  <c r="AK16" i="4"/>
  <c r="I16" i="4"/>
  <c r="I27" i="1" s="1"/>
  <c r="AA16" i="4"/>
  <c r="H16" i="4"/>
  <c r="H15" i="8" s="1"/>
  <c r="X16" i="4"/>
  <c r="AR16" i="4"/>
  <c r="L16" i="4"/>
  <c r="AI16" i="4"/>
  <c r="S16" i="4"/>
  <c r="AH16" i="4"/>
  <c r="AP16" i="4"/>
  <c r="AG16" i="4"/>
  <c r="Z16" i="4"/>
  <c r="Q16" i="4"/>
  <c r="J16" i="4"/>
  <c r="T15" i="4"/>
  <c r="AJ15" i="4"/>
  <c r="Y15" i="4"/>
  <c r="AO15" i="4"/>
  <c r="H15" i="4"/>
  <c r="H14" i="8" s="1"/>
  <c r="V15" i="4"/>
  <c r="AL15" i="4"/>
  <c r="K15" i="4"/>
  <c r="AA15" i="4"/>
  <c r="AQ15" i="4"/>
  <c r="X15" i="4"/>
  <c r="AN15" i="4"/>
  <c r="M15" i="4"/>
  <c r="AC15" i="4"/>
  <c r="AS15" i="4"/>
  <c r="L15" i="4"/>
  <c r="AH15" i="4"/>
  <c r="S15" i="4"/>
  <c r="AU15" i="4"/>
  <c r="N15" i="4"/>
  <c r="AP15" i="4"/>
  <c r="Z15" i="4"/>
  <c r="AG15" i="4"/>
  <c r="U15" i="4"/>
  <c r="P15" i="4"/>
  <c r="AR15" i="4"/>
  <c r="W15" i="4"/>
  <c r="AV15" i="4"/>
  <c r="R15" i="4"/>
  <c r="AT15" i="4"/>
  <c r="AE15" i="4"/>
  <c r="Q15" i="4"/>
  <c r="AK15" i="4"/>
  <c r="AI15" i="4"/>
  <c r="J15" i="4"/>
  <c r="AF15" i="4"/>
  <c r="I15" i="4"/>
  <c r="I26" i="1" s="1"/>
  <c r="O15" i="4"/>
  <c r="AB15" i="4"/>
  <c r="AM15" i="4"/>
  <c r="AD15" i="4"/>
  <c r="D7" i="8"/>
  <c r="U18" i="4"/>
  <c r="M18" i="4"/>
  <c r="AK18" i="4"/>
  <c r="R18" i="4"/>
  <c r="AR18" i="4"/>
  <c r="O18" i="4"/>
  <c r="AS18" i="4"/>
  <c r="AB18" i="4"/>
  <c r="Q18" i="4"/>
  <c r="AU18" i="4"/>
  <c r="AD18" i="4"/>
  <c r="Y18" i="4"/>
  <c r="N18" i="4"/>
  <c r="AC18" i="4"/>
  <c r="V18" i="4"/>
  <c r="AM18" i="4"/>
  <c r="AJ18" i="4"/>
  <c r="AE18" i="4"/>
  <c r="Z18" i="4"/>
  <c r="AG18" i="4"/>
  <c r="AH18" i="4"/>
  <c r="L18" i="4"/>
  <c r="AL18" i="4"/>
  <c r="W18" i="4"/>
  <c r="H18" i="4"/>
  <c r="H17" i="8" s="1"/>
  <c r="J18" i="4"/>
  <c r="AT18" i="4"/>
  <c r="I18" i="4"/>
  <c r="I29" i="1" s="1"/>
  <c r="AP18" i="4"/>
  <c r="AF18" i="4"/>
  <c r="S18" i="4"/>
  <c r="AQ18" i="4"/>
  <c r="T18" i="4"/>
  <c r="AV18" i="4"/>
  <c r="AO18" i="4"/>
  <c r="AN18" i="4"/>
  <c r="P18" i="4"/>
  <c r="AI18" i="4"/>
  <c r="K18" i="4"/>
  <c r="X18" i="4"/>
  <c r="AA18" i="4"/>
  <c r="G7" i="4"/>
  <c r="E7" i="4"/>
  <c r="F7" i="4" s="1"/>
  <c r="D33" i="8"/>
  <c r="J57" i="8"/>
  <c r="D57" i="8"/>
  <c r="P25" i="4"/>
  <c r="AF25" i="4"/>
  <c r="AV25" i="4"/>
  <c r="U25" i="4"/>
  <c r="AK25" i="4"/>
  <c r="R25" i="4"/>
  <c r="AH25" i="4"/>
  <c r="I25" i="4"/>
  <c r="I36" i="1" s="1"/>
  <c r="W25" i="4"/>
  <c r="AM25" i="4"/>
  <c r="T25" i="4"/>
  <c r="AJ25" i="4"/>
  <c r="Y25" i="4"/>
  <c r="AO25" i="4"/>
  <c r="H25" i="4"/>
  <c r="H24" i="8" s="1"/>
  <c r="AB25" i="4"/>
  <c r="M25" i="4"/>
  <c r="AI25" i="4"/>
  <c r="AD25" i="4"/>
  <c r="AA25" i="4"/>
  <c r="O25" i="4"/>
  <c r="AQ25" i="4"/>
  <c r="J25" i="4"/>
  <c r="AL25" i="4"/>
  <c r="Q25" i="4"/>
  <c r="AS25" i="4"/>
  <c r="N25" i="4"/>
  <c r="L25" i="4"/>
  <c r="AN25" i="4"/>
  <c r="S25" i="4"/>
  <c r="AU25" i="4"/>
  <c r="AP25" i="4"/>
  <c r="Z25" i="4"/>
  <c r="X25" i="4"/>
  <c r="AR25" i="4"/>
  <c r="AT25" i="4"/>
  <c r="V25" i="4"/>
  <c r="AG25" i="4"/>
  <c r="K25" i="4"/>
  <c r="AC25" i="4"/>
  <c r="AE25" i="4"/>
  <c r="V39" i="4"/>
  <c r="AH39" i="4"/>
  <c r="L39" i="4"/>
  <c r="AR39" i="4"/>
  <c r="M39" i="4"/>
  <c r="W39" i="4"/>
  <c r="AA39" i="4"/>
  <c r="H39" i="4"/>
  <c r="H38" i="8" s="1"/>
  <c r="AM39" i="4"/>
  <c r="Q39" i="4"/>
  <c r="S39" i="4"/>
  <c r="Y39" i="4"/>
  <c r="AJ39" i="4"/>
  <c r="AI39" i="4"/>
  <c r="AV39" i="4"/>
  <c r="AP39" i="4"/>
  <c r="AF39" i="4"/>
  <c r="AO39" i="4"/>
  <c r="U39" i="4"/>
  <c r="AC39" i="4"/>
  <c r="R39" i="4"/>
  <c r="T39" i="4"/>
  <c r="AE39" i="4"/>
  <c r="P39" i="4"/>
  <c r="O39" i="4"/>
  <c r="X39" i="4"/>
  <c r="AN39" i="4"/>
  <c r="AD39" i="4"/>
  <c r="AS39" i="4"/>
  <c r="I39" i="4"/>
  <c r="I50" i="1" s="1"/>
  <c r="AG39" i="4"/>
  <c r="J39" i="4"/>
  <c r="AT39" i="4"/>
  <c r="N39" i="4"/>
  <c r="K39" i="4"/>
  <c r="Z39" i="4"/>
  <c r="AB39" i="4"/>
  <c r="AL39" i="4"/>
  <c r="AQ39" i="4"/>
  <c r="AU39" i="4"/>
  <c r="AK39" i="4"/>
  <c r="J31" i="4"/>
  <c r="Z31" i="4"/>
  <c r="AP31" i="4"/>
  <c r="Q31" i="4"/>
  <c r="AG31" i="4"/>
  <c r="L31" i="4"/>
  <c r="AD31" i="4"/>
  <c r="AV31" i="4"/>
  <c r="Y31" i="4"/>
  <c r="AQ31" i="4"/>
  <c r="N31" i="4"/>
  <c r="AF31" i="4"/>
  <c r="I31" i="4"/>
  <c r="I42" i="1" s="1"/>
  <c r="AA31" i="4"/>
  <c r="AS31" i="4"/>
  <c r="V31" i="4"/>
  <c r="AT31" i="4"/>
  <c r="AE31" i="4"/>
  <c r="X31" i="4"/>
  <c r="K31" i="4"/>
  <c r="AI31" i="4"/>
  <c r="AO31" i="4"/>
  <c r="AB31" i="4"/>
  <c r="M31" i="4"/>
  <c r="AK31" i="4"/>
  <c r="AJ31" i="4"/>
  <c r="H31" i="4"/>
  <c r="H30" i="8" s="1"/>
  <c r="AH31" i="4"/>
  <c r="O31" i="4"/>
  <c r="AM31" i="4"/>
  <c r="S31" i="4"/>
  <c r="T31" i="4"/>
  <c r="W31" i="4"/>
  <c r="AL31" i="4"/>
  <c r="AN31" i="4"/>
  <c r="U31" i="4"/>
  <c r="AR31" i="4"/>
  <c r="AU31" i="4"/>
  <c r="R31" i="4"/>
  <c r="AC31" i="4"/>
  <c r="P31" i="4"/>
  <c r="F63" i="8"/>
  <c r="G51" i="8" s="1"/>
  <c r="S14" i="4"/>
  <c r="AI14" i="4"/>
  <c r="X14" i="4"/>
  <c r="AN14" i="4"/>
  <c r="K14" i="4"/>
  <c r="AC14" i="4"/>
  <c r="AU14" i="4"/>
  <c r="V14" i="4"/>
  <c r="AP14" i="4"/>
  <c r="M14" i="4"/>
  <c r="AE14" i="4"/>
  <c r="H14" i="4"/>
  <c r="H13" i="8" s="1"/>
  <c r="Z14" i="4"/>
  <c r="AR14" i="4"/>
  <c r="AK14" i="4"/>
  <c r="P14" i="4"/>
  <c r="AL14" i="4"/>
  <c r="O14" i="4"/>
  <c r="AM14" i="4"/>
  <c r="R14" i="4"/>
  <c r="AT14" i="4"/>
  <c r="AS14" i="4"/>
  <c r="Q14" i="4"/>
  <c r="AO14" i="4"/>
  <c r="T14" i="4"/>
  <c r="AV14" i="4"/>
  <c r="W14" i="4"/>
  <c r="U14" i="4"/>
  <c r="AQ14" i="4"/>
  <c r="AB14" i="4"/>
  <c r="AD14" i="4"/>
  <c r="Y14" i="4"/>
  <c r="AJ14" i="4"/>
  <c r="AG14" i="4"/>
  <c r="AA14" i="4"/>
  <c r="L14" i="4"/>
  <c r="N14" i="4"/>
  <c r="J14" i="4"/>
  <c r="I14" i="4"/>
  <c r="I25" i="1" s="1"/>
  <c r="AF14" i="4"/>
  <c r="AH14" i="4"/>
  <c r="V42" i="4"/>
  <c r="AL42" i="4"/>
  <c r="K42" i="4"/>
  <c r="N42" i="4"/>
  <c r="AF42" i="4"/>
  <c r="I42" i="4"/>
  <c r="I53" i="1" s="1"/>
  <c r="Y42" i="4"/>
  <c r="AO42" i="4"/>
  <c r="T42" i="4"/>
  <c r="AP42" i="4"/>
  <c r="S42" i="4"/>
  <c r="AK42" i="4"/>
  <c r="X42" i="4"/>
  <c r="AR42" i="4"/>
  <c r="U42" i="4"/>
  <c r="AM42" i="4"/>
  <c r="Z42" i="4"/>
  <c r="AT42" i="4"/>
  <c r="W42" i="4"/>
  <c r="AQ42" i="4"/>
  <c r="AB42" i="4"/>
  <c r="O42" i="4"/>
  <c r="AU42" i="4"/>
  <c r="AA42" i="4"/>
  <c r="J42" i="4"/>
  <c r="AN42" i="4"/>
  <c r="L42" i="4"/>
  <c r="AD42" i="4"/>
  <c r="Q42" i="4"/>
  <c r="AH42" i="4"/>
  <c r="AE42" i="4"/>
  <c r="AG42" i="4"/>
  <c r="H42" i="4"/>
  <c r="H41" i="8" s="1"/>
  <c r="AJ42" i="4"/>
  <c r="AC42" i="4"/>
  <c r="AV42" i="4"/>
  <c r="M42" i="4"/>
  <c r="AI42" i="4"/>
  <c r="AS42" i="4"/>
  <c r="R42" i="4"/>
  <c r="P42" i="4"/>
  <c r="AN62" i="4"/>
  <c r="AV62" i="4"/>
  <c r="AT62" i="4"/>
  <c r="M62" i="4"/>
  <c r="AB62" i="4"/>
  <c r="H62" i="4"/>
  <c r="H61" i="8" s="1"/>
  <c r="AJ62" i="4"/>
  <c r="AC62" i="4"/>
  <c r="Q62" i="4"/>
  <c r="AS62" i="4"/>
  <c r="O62" i="4"/>
  <c r="AE62" i="4"/>
  <c r="AM62" i="4"/>
  <c r="L62" i="4"/>
  <c r="AQ62" i="4"/>
  <c r="AR62" i="4"/>
  <c r="AD62" i="4"/>
  <c r="U62" i="4"/>
  <c r="J62" i="4"/>
  <c r="I62" i="4"/>
  <c r="I73" i="1" s="1"/>
  <c r="AK62" i="4"/>
  <c r="X62" i="4"/>
  <c r="K62" i="4"/>
  <c r="AI62" i="4"/>
  <c r="R62" i="4"/>
  <c r="Z62" i="4"/>
  <c r="AG62" i="4"/>
  <c r="AA62" i="4"/>
  <c r="AL62" i="4"/>
  <c r="T62" i="4"/>
  <c r="AP62" i="4"/>
  <c r="N62" i="4"/>
  <c r="AU62" i="4"/>
  <c r="W62" i="4"/>
  <c r="AO62" i="4"/>
  <c r="Y62" i="4"/>
  <c r="AH62" i="4"/>
  <c r="AF62" i="4"/>
  <c r="V62" i="4"/>
  <c r="P62" i="4"/>
  <c r="S62" i="4"/>
  <c r="D29" i="8"/>
  <c r="I61" i="4"/>
  <c r="I72" i="1" s="1"/>
  <c r="V61" i="4"/>
  <c r="AJ61" i="4"/>
  <c r="AD61" i="4"/>
  <c r="AT61" i="4"/>
  <c r="N61" i="4"/>
  <c r="K61" i="4"/>
  <c r="AA61" i="4"/>
  <c r="AG61" i="4"/>
  <c r="AK61" i="4"/>
  <c r="H61" i="4"/>
  <c r="H60" i="8" s="1"/>
  <c r="U61" i="4"/>
  <c r="AH61" i="4"/>
  <c r="AN61" i="4"/>
  <c r="AS61" i="4"/>
  <c r="AO61" i="4"/>
  <c r="J61" i="4"/>
  <c r="M61" i="4"/>
  <c r="T61" i="4"/>
  <c r="X61" i="4"/>
  <c r="P61" i="4"/>
  <c r="AF61" i="4"/>
  <c r="AL61" i="4"/>
  <c r="S61" i="4"/>
  <c r="Z61" i="4"/>
  <c r="AI61" i="4"/>
  <c r="O61" i="4"/>
  <c r="L61" i="4"/>
  <c r="AM61" i="4"/>
  <c r="AP61" i="4"/>
  <c r="W61" i="4"/>
  <c r="AQ61" i="4"/>
  <c r="AB61" i="4"/>
  <c r="AU61" i="4"/>
  <c r="R61" i="4"/>
  <c r="AC61" i="4"/>
  <c r="AR61" i="4"/>
  <c r="AV61" i="4"/>
  <c r="AE61" i="4"/>
  <c r="Q61" i="4"/>
  <c r="Y61" i="4"/>
  <c r="Y63" i="4"/>
  <c r="AO63" i="4"/>
  <c r="N63" i="4"/>
  <c r="AD63" i="4"/>
  <c r="AT63" i="4"/>
  <c r="Q63" i="4"/>
  <c r="AI63" i="4"/>
  <c r="J63" i="4"/>
  <c r="AB63" i="4"/>
  <c r="AV63" i="4"/>
  <c r="S63" i="4"/>
  <c r="AK63" i="4"/>
  <c r="L63" i="4"/>
  <c r="AF63" i="4"/>
  <c r="U63" i="4"/>
  <c r="AM63" i="4"/>
  <c r="P63" i="4"/>
  <c r="AH63" i="4"/>
  <c r="M63" i="4"/>
  <c r="AE63" i="4"/>
  <c r="H63" i="4"/>
  <c r="H62" i="8" s="1"/>
  <c r="X63" i="4"/>
  <c r="AP63" i="4"/>
  <c r="AQ63" i="4"/>
  <c r="AJ63" i="4"/>
  <c r="I63" i="4"/>
  <c r="I74" i="1" s="1"/>
  <c r="AS63" i="4"/>
  <c r="AL63" i="4"/>
  <c r="AC63" i="4"/>
  <c r="V63" i="4"/>
  <c r="W63" i="4"/>
  <c r="AN63" i="4"/>
  <c r="AA63" i="4"/>
  <c r="AR63" i="4"/>
  <c r="AG63" i="4"/>
  <c r="K63" i="4"/>
  <c r="T63" i="4"/>
  <c r="O63" i="4"/>
  <c r="R63" i="4"/>
  <c r="Z63" i="4"/>
  <c r="AU63" i="4"/>
  <c r="Y57" i="4"/>
  <c r="AO57" i="4"/>
  <c r="N57" i="4"/>
  <c r="AD57" i="4"/>
  <c r="AT57" i="4"/>
  <c r="W57" i="4"/>
  <c r="AQ57" i="4"/>
  <c r="R57" i="4"/>
  <c r="AJ57" i="4"/>
  <c r="S57" i="4"/>
  <c r="AK57" i="4"/>
  <c r="L57" i="4"/>
  <c r="AF57" i="4"/>
  <c r="M57" i="4"/>
  <c r="AI57" i="4"/>
  <c r="T57" i="4"/>
  <c r="AP57" i="4"/>
  <c r="O57" i="4"/>
  <c r="AM57" i="4"/>
  <c r="V57" i="4"/>
  <c r="AR57" i="4"/>
  <c r="Q57" i="4"/>
  <c r="AS57" i="4"/>
  <c r="X57" i="4"/>
  <c r="AV57" i="4"/>
  <c r="I57" i="4"/>
  <c r="I68" i="1" s="1"/>
  <c r="AE57" i="4"/>
  <c r="J57" i="4"/>
  <c r="AL57" i="4"/>
  <c r="U57" i="4"/>
  <c r="Z57" i="4"/>
  <c r="AG57" i="4"/>
  <c r="AA57" i="4"/>
  <c r="AB57" i="4"/>
  <c r="AC57" i="4"/>
  <c r="AH57" i="4"/>
  <c r="AN57" i="4"/>
  <c r="K57" i="4"/>
  <c r="P57" i="4"/>
  <c r="AU57" i="4"/>
  <c r="H57" i="4"/>
  <c r="H56" i="8" s="1"/>
  <c r="M43" i="4"/>
  <c r="AC43" i="4"/>
  <c r="AS43" i="4"/>
  <c r="R43" i="4"/>
  <c r="AH43" i="4"/>
  <c r="AA43" i="4"/>
  <c r="AU43" i="4"/>
  <c r="V43" i="4"/>
  <c r="AN43" i="4"/>
  <c r="K43" i="4"/>
  <c r="AE43" i="4"/>
  <c r="H43" i="4"/>
  <c r="H42" i="8" s="1"/>
  <c r="X43" i="4"/>
  <c r="AP43" i="4"/>
  <c r="O43" i="4"/>
  <c r="AG43" i="4"/>
  <c r="Z43" i="4"/>
  <c r="AR43" i="4"/>
  <c r="W43" i="4"/>
  <c r="AO43" i="4"/>
  <c r="P43" i="4"/>
  <c r="AJ43" i="4"/>
  <c r="Q43" i="4"/>
  <c r="J43" i="4"/>
  <c r="AT43" i="4"/>
  <c r="S43" i="4"/>
  <c r="L43" i="4"/>
  <c r="AV43" i="4"/>
  <c r="AM43" i="4"/>
  <c r="AF43" i="4"/>
  <c r="Y43" i="4"/>
  <c r="AL43" i="4"/>
  <c r="AI43" i="4"/>
  <c r="AK43" i="4"/>
  <c r="I43" i="4"/>
  <c r="I54" i="1" s="1"/>
  <c r="AB43" i="4"/>
  <c r="AQ43" i="4"/>
  <c r="N43" i="4"/>
  <c r="T43" i="4"/>
  <c r="AD43" i="4"/>
  <c r="U43" i="4"/>
  <c r="L11" i="4"/>
  <c r="AB11" i="4"/>
  <c r="AR11" i="4"/>
  <c r="Q11" i="4"/>
  <c r="AG11" i="4"/>
  <c r="N11" i="4"/>
  <c r="AD11" i="4"/>
  <c r="AT11" i="4"/>
  <c r="S11" i="4"/>
  <c r="AI11" i="4"/>
  <c r="X11" i="4"/>
  <c r="AN11" i="4"/>
  <c r="H11" i="4"/>
  <c r="H10" i="8" s="1"/>
  <c r="AH11" i="4"/>
  <c r="M11" i="4"/>
  <c r="AK11" i="4"/>
  <c r="J11" i="4"/>
  <c r="AJ11" i="4"/>
  <c r="O11" i="4"/>
  <c r="AM11" i="4"/>
  <c r="Z11" i="4"/>
  <c r="AC11" i="4"/>
  <c r="R11" i="4"/>
  <c r="K11" i="4"/>
  <c r="AS11" i="4"/>
  <c r="T11" i="4"/>
  <c r="U11" i="4"/>
  <c r="AU11" i="4"/>
  <c r="V11" i="4"/>
  <c r="W11" i="4"/>
  <c r="AV11" i="4"/>
  <c r="AO11" i="4"/>
  <c r="AE11" i="4"/>
  <c r="P11" i="4"/>
  <c r="AQ11" i="4"/>
  <c r="AL11" i="4"/>
  <c r="AF11" i="4"/>
  <c r="Y11" i="4"/>
  <c r="AA11" i="4"/>
  <c r="I11" i="4"/>
  <c r="I22" i="1" s="1"/>
  <c r="AP11" i="4"/>
  <c r="S49" i="4"/>
  <c r="AI49" i="4"/>
  <c r="X49" i="4"/>
  <c r="AN49" i="4"/>
  <c r="W49" i="4"/>
  <c r="AO49" i="4"/>
  <c r="P49" i="4"/>
  <c r="AH49" i="4"/>
  <c r="I49" i="4"/>
  <c r="I60" i="1" s="1"/>
  <c r="Y49" i="4"/>
  <c r="AQ49" i="4"/>
  <c r="R49" i="4"/>
  <c r="AJ49" i="4"/>
  <c r="AA49" i="4"/>
  <c r="AS49" i="4"/>
  <c r="T49" i="4"/>
  <c r="AL49" i="4"/>
  <c r="Q49" i="4"/>
  <c r="AK49" i="4"/>
  <c r="L49" i="4"/>
  <c r="AD49" i="4"/>
  <c r="AV49" i="4"/>
  <c r="AC49" i="4"/>
  <c r="V49" i="4"/>
  <c r="AE49" i="4"/>
  <c r="Z49" i="4"/>
  <c r="O49" i="4"/>
  <c r="J49" i="4"/>
  <c r="AT49" i="4"/>
  <c r="H49" i="4"/>
  <c r="H48" i="8" s="1"/>
  <c r="N49" i="4"/>
  <c r="K49" i="4"/>
  <c r="AB49" i="4"/>
  <c r="AM49" i="4"/>
  <c r="M49" i="4"/>
  <c r="AU49" i="4"/>
  <c r="U49" i="4"/>
  <c r="AG49" i="4"/>
  <c r="AR49" i="4"/>
  <c r="AP49" i="4"/>
  <c r="AF49" i="4"/>
  <c r="T27" i="4"/>
  <c r="AJ27" i="4"/>
  <c r="Y27" i="4"/>
  <c r="AO27" i="4"/>
  <c r="H27" i="4"/>
  <c r="H26" i="8" s="1"/>
  <c r="V27" i="4"/>
  <c r="AL27" i="4"/>
  <c r="K27" i="4"/>
  <c r="AA27" i="4"/>
  <c r="AQ27" i="4"/>
  <c r="P27" i="4"/>
  <c r="AF27" i="4"/>
  <c r="AV27" i="4"/>
  <c r="U27" i="4"/>
  <c r="AK27" i="4"/>
  <c r="AB27" i="4"/>
  <c r="M27" i="4"/>
  <c r="AI27" i="4"/>
  <c r="AD27" i="4"/>
  <c r="O27" i="4"/>
  <c r="AM27" i="4"/>
  <c r="J27" i="4"/>
  <c r="AH27" i="4"/>
  <c r="Q27" i="4"/>
  <c r="AS27" i="4"/>
  <c r="X27" i="4"/>
  <c r="AT27" i="4"/>
  <c r="AE27" i="4"/>
  <c r="I27" i="4"/>
  <c r="I38" i="1" s="1"/>
  <c r="N27" i="4"/>
  <c r="AU27" i="4"/>
  <c r="L27" i="4"/>
  <c r="S27" i="4"/>
  <c r="R27" i="4"/>
  <c r="AC27" i="4"/>
  <c r="AN27" i="4"/>
  <c r="W27" i="4"/>
  <c r="AG27" i="4"/>
  <c r="AP27" i="4"/>
  <c r="AR27" i="4"/>
  <c r="Z27" i="4"/>
  <c r="L19" i="4"/>
  <c r="AB19" i="4"/>
  <c r="AR19" i="4"/>
  <c r="Q19" i="4"/>
  <c r="AG19" i="4"/>
  <c r="N19" i="4"/>
  <c r="AD19" i="4"/>
  <c r="AT19" i="4"/>
  <c r="S19" i="4"/>
  <c r="AI19" i="4"/>
  <c r="X19" i="4"/>
  <c r="AN19" i="4"/>
  <c r="M19" i="4"/>
  <c r="AC19" i="4"/>
  <c r="AS19" i="4"/>
  <c r="T19" i="4"/>
  <c r="AV19" i="4"/>
  <c r="AA19" i="4"/>
  <c r="V19" i="4"/>
  <c r="I19" i="4"/>
  <c r="I30" i="1" s="1"/>
  <c r="AE19" i="4"/>
  <c r="Z19" i="4"/>
  <c r="AK19" i="4"/>
  <c r="P19" i="4"/>
  <c r="AL19" i="4"/>
  <c r="W19" i="4"/>
  <c r="AU19" i="4"/>
  <c r="K19" i="4"/>
  <c r="U19" i="4"/>
  <c r="R19" i="4"/>
  <c r="AM19" i="4"/>
  <c r="H19" i="4"/>
  <c r="H18" i="8" s="1"/>
  <c r="O19" i="4"/>
  <c r="J19" i="4"/>
  <c r="Y19" i="4"/>
  <c r="AH19" i="4"/>
  <c r="AO19" i="4"/>
  <c r="AJ19" i="4"/>
  <c r="AQ19" i="4"/>
  <c r="AP19" i="4"/>
  <c r="AF19" i="4"/>
  <c r="G75" i="1"/>
  <c r="S55" i="4"/>
  <c r="AI55" i="4"/>
  <c r="X55" i="4"/>
  <c r="AN55" i="4"/>
  <c r="K55" i="4"/>
  <c r="AC55" i="4"/>
  <c r="AU55" i="4"/>
  <c r="V55" i="4"/>
  <c r="AP55" i="4"/>
  <c r="I55" i="4"/>
  <c r="I66" i="1" s="1"/>
  <c r="Y55" i="4"/>
  <c r="AQ55" i="4"/>
  <c r="R55" i="4"/>
  <c r="AJ55" i="4"/>
  <c r="W55" i="4"/>
  <c r="H55" i="4"/>
  <c r="H54" i="8" s="1"/>
  <c r="AD55" i="4"/>
  <c r="AA55" i="4"/>
  <c r="J55" i="4"/>
  <c r="AF55" i="4"/>
  <c r="AE55" i="4"/>
  <c r="L55" i="4"/>
  <c r="AH55" i="4"/>
  <c r="Q55" i="4"/>
  <c r="AO55" i="4"/>
  <c r="Z55" i="4"/>
  <c r="AV55" i="4"/>
  <c r="AG55" i="4"/>
  <c r="AL55" i="4"/>
  <c r="AK55" i="4"/>
  <c r="AR55" i="4"/>
  <c r="AS55" i="4"/>
  <c r="AM55" i="4"/>
  <c r="AT55" i="4"/>
  <c r="O55" i="4"/>
  <c r="T55" i="4"/>
  <c r="U55" i="4"/>
  <c r="AB55" i="4"/>
  <c r="N55" i="4"/>
  <c r="P55" i="4"/>
  <c r="M55" i="4"/>
  <c r="D25" i="8"/>
  <c r="N56" i="4"/>
  <c r="AD56" i="4"/>
  <c r="AT56" i="4"/>
  <c r="S56" i="4"/>
  <c r="AI56" i="4"/>
  <c r="P56" i="4"/>
  <c r="AF56" i="4"/>
  <c r="AV56" i="4"/>
  <c r="U56" i="4"/>
  <c r="AK56" i="4"/>
  <c r="J56" i="4"/>
  <c r="Z56" i="4"/>
  <c r="AP56" i="4"/>
  <c r="O56" i="4"/>
  <c r="AE56" i="4"/>
  <c r="AU56" i="4"/>
  <c r="AJ56" i="4"/>
  <c r="Q56" i="4"/>
  <c r="AQ56" i="4"/>
  <c r="L56" i="4"/>
  <c r="AL56" i="4"/>
  <c r="W56" i="4"/>
  <c r="AS56" i="4"/>
  <c r="AB56" i="4"/>
  <c r="K56" i="4"/>
  <c r="AM56" i="4"/>
  <c r="AH56" i="4"/>
  <c r="AC56" i="4"/>
  <c r="AN56" i="4"/>
  <c r="AG56" i="4"/>
  <c r="AR56" i="4"/>
  <c r="AO56" i="4"/>
  <c r="V56" i="4"/>
  <c r="Y56" i="4"/>
  <c r="T56" i="4"/>
  <c r="X56" i="4"/>
  <c r="I56" i="4"/>
  <c r="I67" i="1" s="1"/>
  <c r="H56" i="4"/>
  <c r="H55" i="8" s="1"/>
  <c r="R56" i="4"/>
  <c r="M56" i="4"/>
  <c r="AA56" i="4"/>
  <c r="M53" i="4"/>
  <c r="AC53" i="4"/>
  <c r="AS53" i="4"/>
  <c r="R53" i="4"/>
  <c r="AH53" i="4"/>
  <c r="Q53" i="4"/>
  <c r="AI53" i="4"/>
  <c r="J53" i="4"/>
  <c r="AB53" i="4"/>
  <c r="AT53" i="4"/>
  <c r="K53" i="4"/>
  <c r="AE53" i="4"/>
  <c r="H53" i="4"/>
  <c r="H52" i="8" s="1"/>
  <c r="X53" i="4"/>
  <c r="AP53" i="4"/>
  <c r="AK53" i="4"/>
  <c r="P53" i="4"/>
  <c r="AN53" i="4"/>
  <c r="O53" i="4"/>
  <c r="AM53" i="4"/>
  <c r="T53" i="4"/>
  <c r="AR53" i="4"/>
  <c r="S53" i="4"/>
  <c r="AO53" i="4"/>
  <c r="V53" i="4"/>
  <c r="AV53" i="4"/>
  <c r="AA53" i="4"/>
  <c r="L53" i="4"/>
  <c r="AJ53" i="4"/>
  <c r="AQ53" i="4"/>
  <c r="AU53" i="4"/>
  <c r="Y53" i="4"/>
  <c r="AF53" i="4"/>
  <c r="AG53" i="4"/>
  <c r="AL53" i="4"/>
  <c r="Z53" i="4"/>
  <c r="AD53" i="4"/>
  <c r="I53" i="4"/>
  <c r="I64" i="1" s="1"/>
  <c r="W53" i="4"/>
  <c r="N53" i="4"/>
  <c r="U53" i="4"/>
  <c r="X35" i="4"/>
  <c r="AN35" i="4"/>
  <c r="M35" i="4"/>
  <c r="AC35" i="4"/>
  <c r="AS35" i="4"/>
  <c r="J35" i="4"/>
  <c r="Z35" i="4"/>
  <c r="AP35" i="4"/>
  <c r="O35" i="4"/>
  <c r="AE35" i="4"/>
  <c r="AU35" i="4"/>
  <c r="L35" i="4"/>
  <c r="AB35" i="4"/>
  <c r="AR35" i="4"/>
  <c r="Q35" i="4"/>
  <c r="AG35" i="4"/>
  <c r="T35" i="4"/>
  <c r="AJ35" i="4"/>
  <c r="Y35" i="4"/>
  <c r="AO35" i="4"/>
  <c r="AH35" i="4"/>
  <c r="W35" i="4"/>
  <c r="H35" i="4"/>
  <c r="H34" i="8" s="1"/>
  <c r="AL35" i="4"/>
  <c r="AA35" i="4"/>
  <c r="AD35" i="4"/>
  <c r="S35" i="4"/>
  <c r="N35" i="4"/>
  <c r="K35" i="4"/>
  <c r="P35" i="4"/>
  <c r="U35" i="4"/>
  <c r="R35" i="4"/>
  <c r="AI35" i="4"/>
  <c r="AV35" i="4"/>
  <c r="AT35" i="4"/>
  <c r="V35" i="4"/>
  <c r="AF35" i="4"/>
  <c r="AM35" i="4"/>
  <c r="AQ35" i="4"/>
  <c r="AK35" i="4"/>
  <c r="I35" i="4"/>
  <c r="I46" i="1" s="1"/>
  <c r="R25" i="1"/>
  <c r="R23" i="1"/>
  <c r="R52" i="4"/>
  <c r="AH52" i="4"/>
  <c r="I52" i="4"/>
  <c r="I63" i="1" s="1"/>
  <c r="W52" i="4"/>
  <c r="AM52" i="4"/>
  <c r="T52" i="4"/>
  <c r="AJ52" i="4"/>
  <c r="Y52" i="4"/>
  <c r="AO52" i="4"/>
  <c r="N52" i="4"/>
  <c r="AD52" i="4"/>
  <c r="AT52" i="4"/>
  <c r="S52" i="4"/>
  <c r="AI52" i="4"/>
  <c r="P52" i="4"/>
  <c r="AP52" i="4"/>
  <c r="AA52" i="4"/>
  <c r="V52" i="4"/>
  <c r="AR52" i="4"/>
  <c r="AC52" i="4"/>
  <c r="J52" i="4"/>
  <c r="AL52" i="4"/>
  <c r="Q52" i="4"/>
  <c r="AS52" i="4"/>
  <c r="X52" i="4"/>
  <c r="O52" i="4"/>
  <c r="Z52" i="4"/>
  <c r="U52" i="4"/>
  <c r="AB52" i="4"/>
  <c r="AE52" i="4"/>
  <c r="K52" i="4"/>
  <c r="AU52" i="4"/>
  <c r="H52" i="4"/>
  <c r="H51" i="8" s="1"/>
  <c r="AQ52" i="4"/>
  <c r="AN52" i="4"/>
  <c r="L52" i="4"/>
  <c r="AF52" i="4"/>
  <c r="AG52" i="4"/>
  <c r="AK52" i="4"/>
  <c r="AV52" i="4"/>
  <c r="M52" i="4"/>
  <c r="J46" i="4"/>
  <c r="Z46" i="4"/>
  <c r="AP46" i="4"/>
  <c r="O46" i="4"/>
  <c r="AE46" i="4"/>
  <c r="AU46" i="4"/>
  <c r="L46" i="4"/>
  <c r="AB46" i="4"/>
  <c r="AR46" i="4"/>
  <c r="Q46" i="4"/>
  <c r="AG46" i="4"/>
  <c r="N46" i="4"/>
  <c r="AD46" i="4"/>
  <c r="AT46" i="4"/>
  <c r="S46" i="4"/>
  <c r="AI46" i="4"/>
  <c r="H46" i="4"/>
  <c r="H45" i="8" s="1"/>
  <c r="V46" i="4"/>
  <c r="AL46" i="4"/>
  <c r="K46" i="4"/>
  <c r="AA46" i="4"/>
  <c r="AQ46" i="4"/>
  <c r="AF46" i="4"/>
  <c r="U46" i="4"/>
  <c r="AH46" i="4"/>
  <c r="W46" i="4"/>
  <c r="AJ46" i="4"/>
  <c r="Y46" i="4"/>
  <c r="T46" i="4"/>
  <c r="AO46" i="4"/>
  <c r="X46" i="4"/>
  <c r="M46" i="4"/>
  <c r="AS46" i="4"/>
  <c r="I46" i="4"/>
  <c r="I57" i="1" s="1"/>
  <c r="AM46" i="4"/>
  <c r="AC46" i="4"/>
  <c r="AK46" i="4"/>
  <c r="R46" i="4"/>
  <c r="AN46" i="4"/>
  <c r="AV46" i="4"/>
  <c r="P46" i="4"/>
  <c r="D11" i="8"/>
  <c r="J11" i="8"/>
  <c r="M24" i="4"/>
  <c r="AC24" i="4"/>
  <c r="AS24" i="4"/>
  <c r="R24" i="4"/>
  <c r="AH24" i="4"/>
  <c r="O24" i="4"/>
  <c r="AE24" i="4"/>
  <c r="AU24" i="4"/>
  <c r="T24" i="4"/>
  <c r="AJ24" i="4"/>
  <c r="Q24" i="4"/>
  <c r="AG24" i="4"/>
  <c r="H24" i="4"/>
  <c r="H23" i="8" s="1"/>
  <c r="V24" i="4"/>
  <c r="AL24" i="4"/>
  <c r="Y24" i="4"/>
  <c r="AO24" i="4"/>
  <c r="N24" i="4"/>
  <c r="AD24" i="4"/>
  <c r="AT24" i="4"/>
  <c r="I24" i="4"/>
  <c r="I35" i="1" s="1"/>
  <c r="AM24" i="4"/>
  <c r="AB24" i="4"/>
  <c r="K24" i="4"/>
  <c r="AQ24" i="4"/>
  <c r="AF24" i="4"/>
  <c r="AI24" i="4"/>
  <c r="X24" i="4"/>
  <c r="S24" i="4"/>
  <c r="P24" i="4"/>
  <c r="U24" i="4"/>
  <c r="Z24" i="4"/>
  <c r="W24" i="4"/>
  <c r="AN24" i="4"/>
  <c r="J24" i="4"/>
  <c r="AV24" i="4"/>
  <c r="AK24" i="4"/>
  <c r="AA24" i="4"/>
  <c r="AP24" i="4"/>
  <c r="AR24" i="4"/>
  <c r="L24" i="4"/>
  <c r="D22" i="8"/>
  <c r="D46" i="8"/>
  <c r="F6" i="4"/>
  <c r="R24" i="1"/>
  <c r="K51" i="4"/>
  <c r="AA51" i="4"/>
  <c r="U51" i="4"/>
  <c r="AM51" i="4"/>
  <c r="L51" i="4"/>
  <c r="AB51" i="4"/>
  <c r="AR51" i="4"/>
  <c r="W51" i="4"/>
  <c r="AO51" i="4"/>
  <c r="N51" i="4"/>
  <c r="AD51" i="4"/>
  <c r="AT51" i="4"/>
  <c r="O51" i="4"/>
  <c r="AG51" i="4"/>
  <c r="H51" i="4"/>
  <c r="H50" i="8" s="1"/>
  <c r="V51" i="4"/>
  <c r="AL51" i="4"/>
  <c r="Y51" i="4"/>
  <c r="AH51" i="4"/>
  <c r="AC51" i="4"/>
  <c r="J51" i="4"/>
  <c r="AJ51" i="4"/>
  <c r="M51" i="4"/>
  <c r="AQ51" i="4"/>
  <c r="X51" i="4"/>
  <c r="S51" i="4"/>
  <c r="T51" i="4"/>
  <c r="AE51" i="4"/>
  <c r="Z51" i="4"/>
  <c r="AI51" i="4"/>
  <c r="AF51" i="4"/>
  <c r="P51" i="4"/>
  <c r="AS51" i="4"/>
  <c r="AU51" i="4"/>
  <c r="Q51" i="4"/>
  <c r="I51" i="4"/>
  <c r="I62" i="1" s="1"/>
  <c r="AK51" i="4"/>
  <c r="AV51" i="4"/>
  <c r="R51" i="4"/>
  <c r="AN51" i="4"/>
  <c r="AP51" i="4"/>
  <c r="AO67" i="13"/>
  <c r="D37" i="8"/>
  <c r="O59" i="4"/>
  <c r="AE59" i="4"/>
  <c r="R59" i="4"/>
  <c r="AH59" i="4"/>
  <c r="AI59" i="4"/>
  <c r="S59" i="4"/>
  <c r="Z59" i="4"/>
  <c r="AR59" i="4"/>
  <c r="AS59" i="4"/>
  <c r="M59" i="4"/>
  <c r="AG59" i="4"/>
  <c r="V59" i="4"/>
  <c r="AN59" i="4"/>
  <c r="AK59" i="4"/>
  <c r="Y59" i="4"/>
  <c r="T59" i="4"/>
  <c r="AT59" i="4"/>
  <c r="AA59" i="4"/>
  <c r="X59" i="4"/>
  <c r="AV59" i="4"/>
  <c r="I59" i="4"/>
  <c r="I70" i="1" s="1"/>
  <c r="AC59" i="4"/>
  <c r="AB59" i="4"/>
  <c r="AM59" i="4"/>
  <c r="U59" i="4"/>
  <c r="N59" i="4"/>
  <c r="AL59" i="4"/>
  <c r="AD59" i="4"/>
  <c r="K59" i="4"/>
  <c r="AF59" i="4"/>
  <c r="AP59" i="4"/>
  <c r="Q59" i="4"/>
  <c r="AJ59" i="4"/>
  <c r="W59" i="4"/>
  <c r="L59" i="4"/>
  <c r="AO59" i="4"/>
  <c r="P59" i="4"/>
  <c r="AU59" i="4"/>
  <c r="J59" i="4"/>
  <c r="AQ59" i="4"/>
  <c r="H59" i="4"/>
  <c r="H58" i="8" s="1"/>
  <c r="M45" i="4"/>
  <c r="AC45" i="4"/>
  <c r="AS45" i="4"/>
  <c r="R45" i="4"/>
  <c r="AH45" i="4"/>
  <c r="O45" i="4"/>
  <c r="AG45" i="4"/>
  <c r="Z45" i="4"/>
  <c r="AR45" i="4"/>
  <c r="Q45" i="4"/>
  <c r="AI45" i="4"/>
  <c r="J45" i="4"/>
  <c r="AB45" i="4"/>
  <c r="AT45" i="4"/>
  <c r="S45" i="4"/>
  <c r="AK45" i="4"/>
  <c r="L45" i="4"/>
  <c r="AD45" i="4"/>
  <c r="AV45" i="4"/>
  <c r="AA45" i="4"/>
  <c r="AU45" i="4"/>
  <c r="V45" i="4"/>
  <c r="AN45" i="4"/>
  <c r="AM45" i="4"/>
  <c r="AF45" i="4"/>
  <c r="AO45" i="4"/>
  <c r="AJ45" i="4"/>
  <c r="I45" i="4"/>
  <c r="I56" i="1" s="1"/>
  <c r="AQ45" i="4"/>
  <c r="AL45" i="4"/>
  <c r="Y45" i="4"/>
  <c r="T45" i="4"/>
  <c r="AE45" i="4"/>
  <c r="X45" i="4"/>
  <c r="W45" i="4"/>
  <c r="H45" i="4"/>
  <c r="H44" i="8" s="1"/>
  <c r="P45" i="4"/>
  <c r="N45" i="4"/>
  <c r="AP45" i="4"/>
  <c r="K45" i="4"/>
  <c r="U45" i="4"/>
  <c r="H9" i="4"/>
  <c r="H8" i="8" s="1"/>
  <c r="V9" i="4"/>
  <c r="AL9" i="4"/>
  <c r="K9" i="4"/>
  <c r="AA9" i="4"/>
  <c r="AQ9" i="4"/>
  <c r="X9" i="4"/>
  <c r="AN9" i="4"/>
  <c r="M9" i="4"/>
  <c r="AC9" i="4"/>
  <c r="AS9" i="4"/>
  <c r="N9" i="4"/>
  <c r="AH9" i="4"/>
  <c r="O9" i="4"/>
  <c r="AI9" i="4"/>
  <c r="P9" i="4"/>
  <c r="AJ9" i="4"/>
  <c r="Q9" i="4"/>
  <c r="AK9" i="4"/>
  <c r="J9" i="4"/>
  <c r="AD9" i="4"/>
  <c r="I9" i="4"/>
  <c r="I20" i="1" s="1"/>
  <c r="AE9" i="4"/>
  <c r="AP9" i="4"/>
  <c r="Y9" i="4"/>
  <c r="AR9" i="4"/>
  <c r="AG9" i="4"/>
  <c r="L9" i="4"/>
  <c r="AT9" i="4"/>
  <c r="AM9" i="4"/>
  <c r="AB9" i="4"/>
  <c r="U9" i="4"/>
  <c r="S9" i="4"/>
  <c r="AU9" i="4"/>
  <c r="W9" i="4"/>
  <c r="R9" i="4"/>
  <c r="AO9" i="4"/>
  <c r="T9" i="4"/>
  <c r="AV9" i="4"/>
  <c r="Z9" i="4"/>
  <c r="AF9" i="4"/>
  <c r="H6" i="4"/>
  <c r="X6" i="4"/>
  <c r="AN6" i="4"/>
  <c r="W6" i="4"/>
  <c r="M6" i="4"/>
  <c r="AS6" i="4"/>
  <c r="V6" i="4"/>
  <c r="R6" i="4"/>
  <c r="AJ6" i="4"/>
  <c r="S6" i="4"/>
  <c r="Q6" i="4"/>
  <c r="Z6" i="4"/>
  <c r="AT6" i="4"/>
  <c r="AQ6" i="4"/>
  <c r="AO6" i="4"/>
  <c r="AB6" i="4"/>
  <c r="AV6" i="4"/>
  <c r="AU6" i="4"/>
  <c r="AD6" i="4"/>
  <c r="K6" i="4"/>
  <c r="I6" i="4"/>
  <c r="P6" i="4"/>
  <c r="AP6" i="4"/>
  <c r="AI6" i="4"/>
  <c r="AG6" i="4"/>
  <c r="J6" i="4"/>
  <c r="O6" i="4"/>
  <c r="L6" i="4"/>
  <c r="AA6" i="4"/>
  <c r="N6" i="4"/>
  <c r="AE6" i="4"/>
  <c r="AL6" i="4"/>
  <c r="AC6" i="4"/>
  <c r="AR6" i="4"/>
  <c r="AK6" i="4"/>
  <c r="T6" i="4"/>
  <c r="AF6" i="4"/>
  <c r="AH6" i="4"/>
  <c r="AM6" i="4"/>
  <c r="U6" i="4"/>
  <c r="Y6" i="4"/>
  <c r="D19" i="8"/>
  <c r="D16" i="8" l="1"/>
  <c r="D40" i="8"/>
  <c r="D47" i="8"/>
  <c r="G43" i="8"/>
  <c r="D35" i="8"/>
  <c r="G35" i="8"/>
  <c r="G19" i="8"/>
  <c r="D59" i="8"/>
  <c r="G14" i="8"/>
  <c r="G7" i="8"/>
  <c r="J39" i="8"/>
  <c r="D39" i="8"/>
  <c r="G30" i="8"/>
  <c r="G49" i="8"/>
  <c r="J20" i="8"/>
  <c r="D20" i="8"/>
  <c r="G17" i="8"/>
  <c r="G41" i="8"/>
  <c r="D32" i="8"/>
  <c r="J28" i="8"/>
  <c r="D28" i="8"/>
  <c r="G5" i="8"/>
  <c r="E64" i="4"/>
  <c r="G46" i="8"/>
  <c r="G10" i="8"/>
  <c r="G52" i="8"/>
  <c r="G27" i="8"/>
  <c r="J15" i="8"/>
  <c r="D15" i="8"/>
  <c r="G58" i="8"/>
  <c r="G47" i="8"/>
  <c r="G42" i="8"/>
  <c r="G44" i="8"/>
  <c r="G57" i="8"/>
  <c r="G21" i="8"/>
  <c r="G55" i="8"/>
  <c r="G36" i="8"/>
  <c r="J41" i="8"/>
  <c r="D41" i="8"/>
  <c r="G38" i="8"/>
  <c r="G32" i="8"/>
  <c r="G11" i="8"/>
  <c r="G53" i="8"/>
  <c r="G33" i="8"/>
  <c r="G28" i="8"/>
  <c r="G16" i="8"/>
  <c r="Q7" i="4"/>
  <c r="Q64" i="4" s="1"/>
  <c r="T7" i="4"/>
  <c r="T64" i="4" s="1"/>
  <c r="T68" i="4" s="1"/>
  <c r="H7" i="4"/>
  <c r="H6" i="8" s="1"/>
  <c r="Y7" i="4"/>
  <c r="Y64" i="4" s="1"/>
  <c r="AL7" i="4"/>
  <c r="AL64" i="4" s="1"/>
  <c r="AQ7" i="4"/>
  <c r="AQ64" i="4" s="1"/>
  <c r="M7" i="4"/>
  <c r="M64" i="4" s="1"/>
  <c r="AA7" i="4"/>
  <c r="AA64" i="4" s="1"/>
  <c r="S7" i="4"/>
  <c r="S64" i="4" s="1"/>
  <c r="AG7" i="4"/>
  <c r="AG64" i="4" s="1"/>
  <c r="AJ7" i="4"/>
  <c r="AJ64" i="4" s="1"/>
  <c r="AT7" i="4"/>
  <c r="AT64" i="4" s="1"/>
  <c r="AT68" i="4" s="1"/>
  <c r="AD7" i="4"/>
  <c r="AD64" i="4" s="1"/>
  <c r="AD68" i="4" s="1"/>
  <c r="U7" i="4"/>
  <c r="U64" i="4" s="1"/>
  <c r="U68" i="4" s="1"/>
  <c r="V7" i="4"/>
  <c r="V64" i="4" s="1"/>
  <c r="V68" i="4" s="1"/>
  <c r="AM7" i="4"/>
  <c r="AM64" i="4" s="1"/>
  <c r="AI7" i="4"/>
  <c r="AI64" i="4" s="1"/>
  <c r="AU7" i="4"/>
  <c r="AU64" i="4" s="1"/>
  <c r="AU68" i="4" s="1"/>
  <c r="X7" i="4"/>
  <c r="X64" i="4" s="1"/>
  <c r="X68" i="4" s="1"/>
  <c r="AN7" i="4"/>
  <c r="AN64" i="4" s="1"/>
  <c r="AN68" i="4" s="1"/>
  <c r="N7" i="4"/>
  <c r="N64" i="4" s="1"/>
  <c r="J7" i="4"/>
  <c r="J64" i="4" s="1"/>
  <c r="AE7" i="4"/>
  <c r="AE64" i="4" s="1"/>
  <c r="AE68" i="4" s="1"/>
  <c r="S62" i="1" s="1"/>
  <c r="O7" i="4"/>
  <c r="AO7" i="4"/>
  <c r="AO64" i="4" s="1"/>
  <c r="AS7" i="4"/>
  <c r="AS64" i="4" s="1"/>
  <c r="AS68" i="4" s="1"/>
  <c r="P7" i="4"/>
  <c r="P64" i="4" s="1"/>
  <c r="P68" i="4" s="1"/>
  <c r="AB7" i="4"/>
  <c r="AB64" i="4" s="1"/>
  <c r="AR7" i="4"/>
  <c r="AR64" i="4" s="1"/>
  <c r="L7" i="4"/>
  <c r="L64" i="4" s="1"/>
  <c r="R7" i="4"/>
  <c r="R64" i="4" s="1"/>
  <c r="AK7" i="4"/>
  <c r="AK64" i="4" s="1"/>
  <c r="AV7" i="4"/>
  <c r="AV64" i="4" s="1"/>
  <c r="AV68" i="4" s="1"/>
  <c r="AC7" i="4"/>
  <c r="AC64" i="4" s="1"/>
  <c r="K7" i="4"/>
  <c r="K64" i="4" s="1"/>
  <c r="AF7" i="4"/>
  <c r="AF64" i="4" s="1"/>
  <c r="AF68" i="4" s="1"/>
  <c r="W7" i="4"/>
  <c r="W64" i="4" s="1"/>
  <c r="Z7" i="4"/>
  <c r="Z64" i="4" s="1"/>
  <c r="Z68" i="4" s="1"/>
  <c r="I7" i="4"/>
  <c r="I18" i="1" s="1"/>
  <c r="AP7" i="4"/>
  <c r="AP64" i="4" s="1"/>
  <c r="AP68" i="4" s="1"/>
  <c r="AH7" i="4"/>
  <c r="AH64" i="4" s="1"/>
  <c r="J14" i="8"/>
  <c r="D14" i="8"/>
  <c r="G31" i="8"/>
  <c r="G61" i="8"/>
  <c r="G62" i="8"/>
  <c r="G54" i="8"/>
  <c r="G39" i="8"/>
  <c r="G25" i="8"/>
  <c r="G18" i="8"/>
  <c r="J17" i="8"/>
  <c r="D17" i="8"/>
  <c r="J61" i="8"/>
  <c r="D61" i="8"/>
  <c r="G56" i="8"/>
  <c r="G50" i="8"/>
  <c r="G34" i="8"/>
  <c r="G48" i="8"/>
  <c r="G40" i="8"/>
  <c r="G26" i="8"/>
  <c r="G12" i="8"/>
  <c r="G13" i="8"/>
  <c r="J38" i="8"/>
  <c r="D38" i="8"/>
  <c r="J60" i="8"/>
  <c r="D60" i="8"/>
  <c r="G64" i="4"/>
  <c r="G24" i="8"/>
  <c r="G22" i="8"/>
  <c r="G37" i="8"/>
  <c r="G29" i="8"/>
  <c r="G6" i="8"/>
  <c r="G15" i="8"/>
  <c r="G59" i="8"/>
  <c r="J13" i="8"/>
  <c r="D13" i="8"/>
  <c r="J30" i="8"/>
  <c r="D30" i="8"/>
  <c r="F64" i="4"/>
  <c r="G45" i="8"/>
  <c r="G20" i="8"/>
  <c r="G23" i="8"/>
  <c r="G8" i="8"/>
  <c r="G9" i="8"/>
  <c r="G60" i="8"/>
  <c r="J24" i="8"/>
  <c r="D24" i="8"/>
  <c r="H5" i="8"/>
  <c r="J44" i="8"/>
  <c r="D44" i="8"/>
  <c r="J50" i="8"/>
  <c r="D50" i="8"/>
  <c r="J51" i="8"/>
  <c r="D51" i="8"/>
  <c r="J62" i="8"/>
  <c r="D62" i="8"/>
  <c r="J18" i="8"/>
  <c r="D18" i="8"/>
  <c r="J52" i="8"/>
  <c r="D52" i="8"/>
  <c r="J56" i="8"/>
  <c r="D56" i="8"/>
  <c r="I17" i="1"/>
  <c r="J42" i="8"/>
  <c r="D42" i="8"/>
  <c r="J55" i="8"/>
  <c r="D55" i="8"/>
  <c r="J10" i="8"/>
  <c r="D10" i="8"/>
  <c r="J54" i="8"/>
  <c r="D54" i="8"/>
  <c r="AO68" i="13"/>
  <c r="AR3" i="13"/>
  <c r="J26" i="8"/>
  <c r="D26" i="8"/>
  <c r="J23" i="8"/>
  <c r="D23" i="8"/>
  <c r="J8" i="8"/>
  <c r="D8" i="8"/>
  <c r="O64" i="4"/>
  <c r="J58" i="8"/>
  <c r="D58" i="8"/>
  <c r="J45" i="8"/>
  <c r="D45" i="8"/>
  <c r="J34" i="8"/>
  <c r="D34" i="8"/>
  <c r="J48" i="8"/>
  <c r="D48" i="8"/>
  <c r="O62" i="1" l="1"/>
  <c r="I64" i="4"/>
  <c r="K65" i="4" s="1"/>
  <c r="G63" i="8"/>
  <c r="T20" i="1"/>
  <c r="AL68" i="4"/>
  <c r="AI68" i="4"/>
  <c r="T22" i="1"/>
  <c r="AJ68" i="4"/>
  <c r="T25" i="1"/>
  <c r="J6" i="8"/>
  <c r="D6" i="8"/>
  <c r="T23" i="1"/>
  <c r="H64" i="4"/>
  <c r="T26" i="1"/>
  <c r="AQ68" i="4"/>
  <c r="O67" i="1"/>
  <c r="S68" i="4"/>
  <c r="S67" i="1" s="1"/>
  <c r="O47" i="1"/>
  <c r="O51" i="1"/>
  <c r="O50" i="1"/>
  <c r="O65" i="1"/>
  <c r="AA68" i="4"/>
  <c r="S65" i="1" s="1"/>
  <c r="O52" i="1"/>
  <c r="O64" i="1"/>
  <c r="AB68" i="4"/>
  <c r="S64" i="1" s="1"/>
  <c r="T27" i="1"/>
  <c r="AR68" i="4"/>
  <c r="O66" i="1"/>
  <c r="W68" i="4"/>
  <c r="S66" i="1" s="1"/>
  <c r="T21" i="1"/>
  <c r="AM68" i="4"/>
  <c r="H63" i="8"/>
  <c r="J5" i="8"/>
  <c r="D5" i="8"/>
  <c r="O68" i="4"/>
  <c r="S74" i="1" s="1"/>
  <c r="O74" i="1"/>
  <c r="O59" i="1"/>
  <c r="N68" i="4"/>
  <c r="S59" i="1" s="1"/>
  <c r="O63" i="1"/>
  <c r="AC68" i="4"/>
  <c r="S63" i="1" s="1"/>
  <c r="O48" i="1"/>
  <c r="O61" i="1"/>
  <c r="R68" i="4"/>
  <c r="S61" i="1" s="1"/>
  <c r="AQ6" i="13"/>
  <c r="AQ14" i="13"/>
  <c r="AQ59" i="13"/>
  <c r="AQ24" i="13"/>
  <c r="AQ41" i="13"/>
  <c r="AQ46" i="13"/>
  <c r="AQ9" i="13"/>
  <c r="AQ7" i="13"/>
  <c r="AQ50" i="13"/>
  <c r="AQ53" i="13"/>
  <c r="AQ43" i="13"/>
  <c r="AQ65" i="13"/>
  <c r="AQ62" i="13"/>
  <c r="AQ48" i="13"/>
  <c r="AQ51" i="13"/>
  <c r="AQ12" i="13"/>
  <c r="AQ15" i="13"/>
  <c r="AQ56" i="13"/>
  <c r="AQ17" i="13"/>
  <c r="AQ61" i="13"/>
  <c r="AQ35" i="13"/>
  <c r="AQ23" i="13"/>
  <c r="AQ52" i="13"/>
  <c r="AQ45" i="13"/>
  <c r="AQ31" i="13"/>
  <c r="AQ19" i="13"/>
  <c r="AQ40" i="13"/>
  <c r="AQ37" i="13"/>
  <c r="AQ20" i="13"/>
  <c r="AQ11" i="13"/>
  <c r="AQ36" i="13"/>
  <c r="AQ47" i="13"/>
  <c r="AQ64" i="13"/>
  <c r="AQ13" i="13"/>
  <c r="AQ55" i="13"/>
  <c r="AQ34" i="13"/>
  <c r="AQ30" i="13"/>
  <c r="AQ25" i="13"/>
  <c r="AQ39" i="13"/>
  <c r="AQ60" i="13"/>
  <c r="AQ42" i="13"/>
  <c r="AQ16" i="13"/>
  <c r="AQ32" i="13"/>
  <c r="AQ8" i="13"/>
  <c r="AQ33" i="13"/>
  <c r="AQ54" i="13"/>
  <c r="AQ63" i="13"/>
  <c r="AQ38" i="13"/>
  <c r="AQ18" i="13"/>
  <c r="AQ57" i="13"/>
  <c r="AQ27" i="13"/>
  <c r="AQ26" i="13"/>
  <c r="AQ21" i="13"/>
  <c r="AQ44" i="13"/>
  <c r="AQ22" i="13"/>
  <c r="AQ58" i="13"/>
  <c r="AQ49" i="13"/>
  <c r="AQ10" i="13"/>
  <c r="O49" i="1"/>
  <c r="T24" i="1"/>
  <c r="AK68" i="4"/>
  <c r="O75" i="1"/>
  <c r="AO68" i="4"/>
  <c r="S75" i="1" s="1"/>
  <c r="Y68" i="4"/>
  <c r="S73" i="1" s="1"/>
  <c r="O73" i="1"/>
  <c r="O60" i="1"/>
  <c r="Q68" i="4"/>
  <c r="S60" i="1" s="1"/>
  <c r="M66" i="4" l="1"/>
  <c r="M65" i="4"/>
  <c r="O42" i="1"/>
  <c r="AH65" i="4"/>
  <c r="I67" i="4"/>
  <c r="Q42" i="1" s="1"/>
  <c r="J66" i="4"/>
  <c r="AG66" i="4"/>
  <c r="J63" i="8"/>
  <c r="B30" i="8" s="1"/>
  <c r="L66" i="4"/>
  <c r="L65" i="4"/>
  <c r="AH66" i="4"/>
  <c r="AH68" i="4" s="1"/>
  <c r="I75" i="1"/>
  <c r="K42" i="1" s="1"/>
  <c r="J65" i="4"/>
  <c r="K66" i="4"/>
  <c r="K68" i="4" s="1"/>
  <c r="AG65" i="4"/>
  <c r="AQ67" i="13"/>
  <c r="AQ68" i="13" s="1"/>
  <c r="D63" i="8"/>
  <c r="E5" i="8" s="1"/>
  <c r="L68" i="4" l="1"/>
  <c r="K39" i="1"/>
  <c r="M68" i="4"/>
  <c r="K71" i="1"/>
  <c r="K34" i="1"/>
  <c r="K25" i="1"/>
  <c r="B32" i="8"/>
  <c r="B5" i="8"/>
  <c r="B49" i="8"/>
  <c r="B55" i="8"/>
  <c r="B47" i="8"/>
  <c r="B46" i="8"/>
  <c r="B26" i="8"/>
  <c r="B23" i="8"/>
  <c r="B52" i="8"/>
  <c r="B45" i="8"/>
  <c r="B43" i="8"/>
  <c r="B39" i="8"/>
  <c r="B42" i="8"/>
  <c r="B22" i="8"/>
  <c r="B21" i="8"/>
  <c r="B27" i="8"/>
  <c r="B41" i="8"/>
  <c r="B35" i="8"/>
  <c r="B31" i="8"/>
  <c r="B38" i="8"/>
  <c r="B14" i="8"/>
  <c r="B18" i="8"/>
  <c r="B19" i="8"/>
  <c r="B60" i="8"/>
  <c r="B37" i="8"/>
  <c r="B12" i="8"/>
  <c r="B17" i="8"/>
  <c r="B34" i="8"/>
  <c r="B6" i="8"/>
  <c r="B28" i="8"/>
  <c r="B29" i="8"/>
  <c r="B36" i="8"/>
  <c r="B33" i="8"/>
  <c r="B20" i="8"/>
  <c r="B62" i="8"/>
  <c r="B25" i="8"/>
  <c r="B7" i="8"/>
  <c r="B56" i="8"/>
  <c r="B16" i="8"/>
  <c r="B61" i="8"/>
  <c r="B24" i="8"/>
  <c r="B15" i="8"/>
  <c r="B58" i="8"/>
  <c r="B10" i="8"/>
  <c r="K57" i="1"/>
  <c r="B48" i="8"/>
  <c r="B44" i="8"/>
  <c r="B57" i="8"/>
  <c r="B8" i="8"/>
  <c r="B59" i="8"/>
  <c r="B54" i="8"/>
  <c r="B13" i="8"/>
  <c r="K74" i="1"/>
  <c r="B40" i="8"/>
  <c r="B11" i="8"/>
  <c r="B53" i="8"/>
  <c r="B9" i="8"/>
  <c r="B51" i="8"/>
  <c r="B50" i="8"/>
  <c r="K61" i="1"/>
  <c r="AG68" i="4"/>
  <c r="K68" i="1"/>
  <c r="K31" i="1"/>
  <c r="K24" i="1"/>
  <c r="K45" i="1"/>
  <c r="K19" i="1"/>
  <c r="K62" i="1"/>
  <c r="K54" i="1"/>
  <c r="K18" i="1"/>
  <c r="K50" i="1"/>
  <c r="K36" i="1"/>
  <c r="K33" i="1"/>
  <c r="K29" i="1"/>
  <c r="K60" i="1"/>
  <c r="K38" i="1"/>
  <c r="K49" i="1"/>
  <c r="K21" i="1"/>
  <c r="K47" i="1"/>
  <c r="K26" i="1"/>
  <c r="K40" i="1"/>
  <c r="K67" i="1"/>
  <c r="K48" i="1"/>
  <c r="K43" i="1"/>
  <c r="K64" i="1"/>
  <c r="K17" i="1"/>
  <c r="K70" i="1"/>
  <c r="K56" i="1"/>
  <c r="K28" i="1"/>
  <c r="K73" i="1"/>
  <c r="K53" i="1"/>
  <c r="K32" i="1"/>
  <c r="K65" i="1"/>
  <c r="K46" i="1"/>
  <c r="K58" i="1"/>
  <c r="K27" i="1"/>
  <c r="K69" i="1"/>
  <c r="K22" i="1"/>
  <c r="K30" i="1"/>
  <c r="K35" i="1"/>
  <c r="K37" i="1"/>
  <c r="K52" i="1"/>
  <c r="K51" i="1"/>
  <c r="K72" i="1"/>
  <c r="K44" i="1"/>
  <c r="K23" i="1"/>
  <c r="K66" i="1"/>
  <c r="K20" i="1"/>
  <c r="K63" i="1"/>
  <c r="K59" i="1"/>
  <c r="K55" i="1"/>
  <c r="K41" i="1"/>
  <c r="J68" i="4"/>
  <c r="U6" i="8"/>
  <c r="X6" i="8" s="1"/>
  <c r="W10" i="8"/>
  <c r="U5" i="8"/>
  <c r="X5" i="8" s="1"/>
  <c r="W9" i="8"/>
  <c r="W6" i="8"/>
  <c r="U18" i="8"/>
  <c r="X18" i="8" s="1"/>
  <c r="U12" i="8"/>
  <c r="X12" i="8" s="1"/>
  <c r="W16" i="8"/>
  <c r="U11" i="8"/>
  <c r="X11" i="8" s="1"/>
  <c r="W15" i="8"/>
  <c r="U21" i="8"/>
  <c r="X21" i="8" s="1"/>
  <c r="E15" i="8"/>
  <c r="W5" i="8"/>
  <c r="U17" i="8"/>
  <c r="X17" i="8" s="1"/>
  <c r="U10" i="8"/>
  <c r="X10" i="8" s="1"/>
  <c r="W14" i="8"/>
  <c r="U9" i="8"/>
  <c r="X9" i="8" s="1"/>
  <c r="W13" i="8"/>
  <c r="W19" i="8"/>
  <c r="W23" i="8" s="1"/>
  <c r="U37" i="1" s="1"/>
  <c r="W8" i="8"/>
  <c r="U20" i="8"/>
  <c r="X20" i="8" s="1"/>
  <c r="W12" i="8"/>
  <c r="U19" i="8"/>
  <c r="W20" i="8"/>
  <c r="U15" i="8"/>
  <c r="X15" i="8" s="1"/>
  <c r="U7" i="8"/>
  <c r="X7" i="8" s="1"/>
  <c r="U14" i="8"/>
  <c r="X14" i="8" s="1"/>
  <c r="W17" i="8"/>
  <c r="U16" i="8"/>
  <c r="X16" i="8" s="1"/>
  <c r="U8" i="8"/>
  <c r="X8" i="8" s="1"/>
  <c r="W11" i="8"/>
  <c r="W21" i="8"/>
  <c r="W18" i="8"/>
  <c r="U13" i="8"/>
  <c r="X13" i="8" s="1"/>
  <c r="D64" i="8"/>
  <c r="Q37" i="1" s="1"/>
  <c r="Z5" i="8" s="1"/>
  <c r="W7" i="8"/>
  <c r="E53" i="8"/>
  <c r="E57" i="8"/>
  <c r="E41" i="8"/>
  <c r="E12" i="8"/>
  <c r="E7" i="8"/>
  <c r="E16" i="8"/>
  <c r="E24" i="8"/>
  <c r="E49" i="8"/>
  <c r="E59" i="8"/>
  <c r="E14" i="8"/>
  <c r="E30" i="8"/>
  <c r="E39" i="8"/>
  <c r="E33" i="8"/>
  <c r="E17" i="8"/>
  <c r="E28" i="8"/>
  <c r="E27" i="8"/>
  <c r="E9" i="8"/>
  <c r="E43" i="8"/>
  <c r="E61" i="8"/>
  <c r="E20" i="8"/>
  <c r="E6" i="8"/>
  <c r="E40" i="8"/>
  <c r="E60" i="8"/>
  <c r="E31" i="8"/>
  <c r="E21" i="8"/>
  <c r="E38" i="8"/>
  <c r="E36" i="8"/>
  <c r="E35" i="8"/>
  <c r="E13" i="8"/>
  <c r="E29" i="8"/>
  <c r="E32" i="8"/>
  <c r="E46" i="8"/>
  <c r="E22" i="8"/>
  <c r="E47" i="8"/>
  <c r="E25" i="8"/>
  <c r="E19" i="8"/>
  <c r="E37" i="8"/>
  <c r="E11" i="8"/>
  <c r="E23" i="8"/>
  <c r="E44" i="8"/>
  <c r="E42" i="8"/>
  <c r="E52" i="8"/>
  <c r="E51" i="8"/>
  <c r="E58" i="8"/>
  <c r="E26" i="8"/>
  <c r="E8" i="8"/>
  <c r="E55" i="8"/>
  <c r="E45" i="8"/>
  <c r="E54" i="8"/>
  <c r="E62" i="8"/>
  <c r="E48" i="8"/>
  <c r="E34" i="8"/>
  <c r="E10" i="8"/>
  <c r="E56" i="8"/>
  <c r="E18" i="8"/>
  <c r="E50" i="8"/>
  <c r="B63" i="8" l="1"/>
  <c r="C61" i="8" s="1"/>
  <c r="K75" i="1"/>
  <c r="E63" i="8"/>
  <c r="U23" i="8"/>
  <c r="X19" i="8"/>
  <c r="X23" i="8" s="1"/>
  <c r="Z21" i="8"/>
  <c r="Z20" i="8"/>
  <c r="Z9" i="8"/>
  <c r="Z7" i="8"/>
  <c r="Z6" i="8"/>
  <c r="Z8" i="8"/>
  <c r="Z17" i="8"/>
  <c r="Z16" i="8"/>
  <c r="Z15" i="8"/>
  <c r="Z10" i="8"/>
  <c r="Z19" i="8"/>
  <c r="Z12" i="8"/>
  <c r="Z14" i="8"/>
  <c r="Z11" i="8"/>
  <c r="Z13" i="8"/>
  <c r="Z18" i="8"/>
  <c r="C47" i="8" l="1"/>
  <c r="C50" i="8"/>
  <c r="V14" i="8"/>
  <c r="C60" i="8"/>
  <c r="C16" i="8"/>
  <c r="C49" i="8"/>
  <c r="C37" i="8"/>
  <c r="V6" i="8"/>
  <c r="C59" i="8"/>
  <c r="V8" i="8"/>
  <c r="C18" i="8"/>
  <c r="C57" i="8"/>
  <c r="C19" i="8"/>
  <c r="C28" i="8"/>
  <c r="V16" i="8"/>
  <c r="C62" i="8"/>
  <c r="C13" i="8"/>
  <c r="C58" i="8"/>
  <c r="C44" i="8"/>
  <c r="C15" i="8"/>
  <c r="C35" i="8"/>
  <c r="C8" i="8"/>
  <c r="V5" i="8"/>
  <c r="C10" i="8"/>
  <c r="C20" i="8"/>
  <c r="C46" i="8"/>
  <c r="C9" i="8"/>
  <c r="C30" i="8"/>
  <c r="C21" i="8"/>
  <c r="V10" i="8"/>
  <c r="C53" i="8"/>
  <c r="C27" i="8"/>
  <c r="C42" i="8"/>
  <c r="C6" i="8"/>
  <c r="V11" i="8"/>
  <c r="C32" i="8"/>
  <c r="C36" i="8"/>
  <c r="C12" i="8"/>
  <c r="C25" i="8"/>
  <c r="C31" i="8"/>
  <c r="V20" i="8"/>
  <c r="C55" i="8"/>
  <c r="C51" i="8"/>
  <c r="C56" i="8"/>
  <c r="C29" i="8"/>
  <c r="C34" i="8"/>
  <c r="V12" i="8"/>
  <c r="C17" i="8"/>
  <c r="V17" i="8"/>
  <c r="C39" i="8"/>
  <c r="Q36" i="1"/>
  <c r="Y9" i="8" s="1"/>
  <c r="V13" i="8"/>
  <c r="C40" i="8"/>
  <c r="C52" i="8"/>
  <c r="V18" i="8"/>
  <c r="V15" i="8"/>
  <c r="V19" i="8"/>
  <c r="V23" i="8" s="1"/>
  <c r="U36" i="1" s="1"/>
  <c r="C54" i="8"/>
  <c r="C41" i="8"/>
  <c r="V7" i="8"/>
  <c r="C11" i="8"/>
  <c r="C23" i="8"/>
  <c r="C43" i="8"/>
  <c r="V9" i="8"/>
  <c r="C26" i="8"/>
  <c r="C7" i="8"/>
  <c r="C48" i="8"/>
  <c r="C24" i="8"/>
  <c r="C33" i="8"/>
  <c r="C14" i="8"/>
  <c r="C5" i="8"/>
  <c r="C22" i="8"/>
  <c r="C45" i="8"/>
  <c r="C38" i="8"/>
  <c r="V21" i="8"/>
  <c r="Y18" i="8" l="1"/>
  <c r="C63" i="8"/>
  <c r="Y12" i="8"/>
  <c r="Y16" i="8"/>
  <c r="Y11" i="8"/>
  <c r="Y21" i="8"/>
  <c r="Y10" i="8"/>
  <c r="Y13" i="8"/>
  <c r="Y17" i="8"/>
  <c r="Y15" i="8"/>
  <c r="Y5" i="8"/>
  <c r="Y20" i="8"/>
  <c r="Y19" i="8"/>
  <c r="Y7" i="8"/>
  <c r="Y8" i="8"/>
  <c r="Y6" i="8"/>
  <c r="Y14" i="8"/>
</calcChain>
</file>

<file path=xl/comments1.xml><?xml version="1.0" encoding="utf-8"?>
<comments xmlns="http://schemas.openxmlformats.org/spreadsheetml/2006/main">
  <authors>
    <author>Joseph Llobrera</author>
    <author>bnutpub-105</author>
  </authors>
  <commentList>
    <comment ref="C17" authorId="0">
      <text>
        <r>
          <rPr>
            <b/>
            <sz val="8"/>
            <color indexed="81"/>
            <rFont val="Tahoma"/>
            <family val="2"/>
          </rPr>
          <t xml:space="preserve">All fluid, evaporated, condensed, and dry whole milk; regular yogurt; all fluid creams; cream substitutes; cream cheese; and dips 
</t>
        </r>
      </text>
    </comment>
    <comment ref="C18" authorId="0">
      <text>
        <r>
          <rPr>
            <b/>
            <sz val="8"/>
            <color indexed="81"/>
            <rFont val="Tahoma"/>
            <family val="2"/>
          </rPr>
          <t>All fluid, evaporated, and dry reduced-fat and skim milks; buttermilk; and lowfat or nonfat yogurts</t>
        </r>
      </text>
    </comment>
    <comment ref="C19" authorId="0">
      <text>
        <r>
          <rPr>
            <b/>
            <sz val="8"/>
            <color indexed="81"/>
            <rFont val="Tahoma"/>
            <family val="2"/>
          </rPr>
          <t>Natural, processed, and imitation cheeses; cottage cheese; cheese spreads; cheese dips; and cheese soups</t>
        </r>
      </text>
    </comment>
    <comment ref="C20" authorId="0">
      <text>
        <r>
          <rPr>
            <b/>
            <sz val="8"/>
            <color indexed="81"/>
            <rFont val="Tahoma"/>
            <family val="2"/>
          </rPr>
          <t>Milk-based drinks (e.g., malted milk, hot chocolate, eggnogs, cocoa, infant formulas, and meal-replacement drinks) with fat equivalent to that of whole milk; dairy desserts (e.g., ice cream, frozen yogurt, ice milk, custard, and puddings) having more than 6% fat by weight</t>
        </r>
      </text>
    </comment>
    <comment ref="C21" authorId="0">
      <text>
        <r>
          <rPr>
            <b/>
            <sz val="8"/>
            <color indexed="81"/>
            <rFont val="Tahoma"/>
            <family val="2"/>
          </rPr>
          <t>Milk-based drinks made with reduced-fat or skim milk and dairy desserts having 6% or less fat by weight</t>
        </r>
      </text>
    </comment>
    <comment ref="C22" authorId="0">
      <text>
        <r>
          <rPr>
            <b/>
            <sz val="8"/>
            <color indexed="81"/>
            <rFont val="Tahoma"/>
            <family val="2"/>
          </rPr>
          <t>Pork (e.g., skin, ground, chop, roast, cutlet, and bacon), beef (e.g., brisket, short ribs, neck bones, regular ground beef, and corned beef), lamb (e.g., ground or chop), and organ meats—all with more than the median amount of discretionary solid fat</t>
        </r>
      </text>
    </comment>
    <comment ref="C23" authorId="0">
      <text>
        <r>
          <rPr>
            <b/>
            <sz val="8"/>
            <color indexed="81"/>
            <rFont val="Tahoma"/>
            <family val="2"/>
          </rPr>
          <t>Beef (e.g., battered and fried steak, barbecued short ribs, and pot roast), pork (e.g., fresh ham, loin, and spareribs), lamb (e.g., roast), game meats, and jerky—all with more than the median amount of discretionary solid fat</t>
        </r>
      </text>
    </comment>
    <comment ref="C24" authorId="0">
      <text>
        <r>
          <rPr>
            <b/>
            <sz val="8"/>
            <color indexed="81"/>
            <rFont val="Tahoma"/>
            <family val="2"/>
          </rPr>
          <t>Lean pork (e.g., lean spareribs and smoked or cured roast), lean only beef (e.g., brisket), lamb (e.g., shoulder chop), and game meats—all with the median amount of discretionary solid fat or less</t>
        </r>
      </text>
    </comment>
    <comment ref="C25" authorId="0">
      <text>
        <r>
          <rPr>
            <b/>
            <sz val="8"/>
            <color indexed="81"/>
            <rFont val="Tahoma"/>
            <family val="2"/>
          </rPr>
          <t>Lean beef (e.g., steak, veal, and oxtail), lean only pork (e.g., roast, steak, fresh ham, and loin), regular cost lamb (e.g., ribs and loin chop), and game meats—all with the median amount of discretionary solid fat or less</t>
        </r>
      </text>
    </comment>
    <comment ref="C26" authorId="0">
      <text>
        <r>
          <rPr>
            <b/>
            <sz val="8"/>
            <color indexed="81"/>
            <rFont val="Tahoma"/>
            <family val="2"/>
          </rPr>
          <t>Fish sticks or other fried and battered fish (e.g., mullet, smelt, haddock, herring, and catfish)—all with more than the median amount of discretionary solid fat</t>
        </r>
      </text>
    </comment>
    <comment ref="C27" authorId="0">
      <text>
        <r>
          <rPr>
            <b/>
            <sz val="8"/>
            <color indexed="81"/>
            <rFont val="Tahoma"/>
            <family val="2"/>
          </rPr>
          <t>Fish, pan-fried or baked with solid fat (e.g., fresh tuna, swordfish, trout, salmon, ocean perch, and porgy) and battered and fried shellfish (e.g., scallops, oyster, shrimp, and crab)—all with more than the median amount of discretionary solid fat</t>
        </r>
      </text>
    </comment>
    <comment ref="C28" authorId="0">
      <text>
        <r>
          <rPr>
            <b/>
            <sz val="8"/>
            <color indexed="81"/>
            <rFont val="Tahoma"/>
            <family val="2"/>
          </rPr>
          <t>Canned fish (e.g., tuna, sardines, and herring), canned shellfish (e.g., shrimp), and canned seafood-based soups and chowders—all with the median amount of discretionary solid fat or less</t>
        </r>
      </text>
    </comment>
    <comment ref="C29" authorId="0">
      <text>
        <r>
          <rPr>
            <b/>
            <sz val="8"/>
            <color indexed="81"/>
            <rFont val="Tahoma"/>
            <family val="2"/>
          </rPr>
          <t>Broiled, steamed, or smoked fresh fish (e.g., tuna, salmon) and fresh shellfish (e.g., crab and clams)—all with the median amount of discretionary solid fat or less</t>
        </r>
      </text>
    </comment>
    <comment ref="C30" authorId="0">
      <text>
        <r>
          <rPr>
            <b/>
            <sz val="8"/>
            <color indexed="81"/>
            <rFont val="Tahoma"/>
            <family val="2"/>
          </rPr>
          <t>Coated and fried dark meat (e.g., wing, thigh, and drumstick) purchased with skin; nuggets; and organ meats of chicken, turkey, and game birds purchased with skin—all with more than the median amount of discretionary solid fat</t>
        </r>
      </text>
    </comment>
    <comment ref="C31" authorId="0">
      <text>
        <r>
          <rPr>
            <b/>
            <sz val="8"/>
            <color indexed="81"/>
            <rFont val="Tahoma"/>
            <family val="2"/>
          </rPr>
          <t>Coated and fried poultry (e.g., breast, leg, thigh, and drumstick) purchased without skin—all with morethan the median amount of discretionary solid fat</t>
        </r>
      </text>
    </comment>
    <comment ref="C32" authorId="0">
      <text>
        <r>
          <rPr>
            <b/>
            <sz val="8"/>
            <color indexed="81"/>
            <rFont val="Tahoma"/>
            <family val="2"/>
          </rPr>
          <t>Smoked or roasted white and dark meat mixture or dark meat (e.g., thigh and drumstick) purchased with skin (but skin not consumed); turkey and game birds purchased with skin (but skin not consumed); and canned chicken soups—all with the median amount of discretionary solid fat or less</t>
        </r>
      </text>
    </comment>
    <comment ref="C33" authorId="0">
      <text>
        <r>
          <rPr>
            <b/>
            <sz val="8"/>
            <color indexed="81"/>
            <rFont val="Tahoma"/>
            <family val="2"/>
          </rPr>
          <t>Coated and fried dark meat (e.g., wing, thigh, and drumstick) purchased with skin; nuggets; and organ meats of chicken, turkey, and game birds purchased with skin—all with more than the median amount of discretionary solid fat</t>
        </r>
      </text>
    </comment>
    <comment ref="C34" authorId="0">
      <text>
        <r>
          <rPr>
            <b/>
            <sz val="8"/>
            <color indexed="81"/>
            <rFont val="Tahoma"/>
            <family val="2"/>
          </rPr>
          <t>Sausages, salami, frankfurters, bologna, sliced ham, bacon, and pastrami</t>
        </r>
      </text>
    </comment>
    <comment ref="C35" authorId="0">
      <text>
        <r>
          <rPr>
            <b/>
            <sz val="8"/>
            <color indexed="81"/>
            <rFont val="Tahoma"/>
            <family val="2"/>
          </rPr>
          <t>Sausages, salami, frankfurters, bologna, sliced ham, bacon, and pastrami containing 25% less fat than regular fat form</t>
        </r>
      </text>
    </comment>
    <comment ref="C36" authorId="0">
      <text>
        <r>
          <rPr>
            <b/>
            <sz val="8"/>
            <color indexed="81"/>
            <rFont val="Tahoma"/>
            <family val="2"/>
          </rPr>
          <t>Fresh, frozen, and dried eggs; egg substitutes; meringues; and egg mixtures</t>
        </r>
      </text>
    </comment>
    <comment ref="O36" authorId="1">
      <text>
        <r>
          <rPr>
            <b/>
            <sz val="8"/>
            <color indexed="81"/>
            <rFont val="Tahoma"/>
            <family val="2"/>
          </rPr>
          <t>For the official TFP, USDA seeks to minimize the log distance, which equals the expenditure weighted sum of the squared difference between the log food plan quantity and the log current consumption quantity.  The log distance is undefined if any of the 58 food groups have a spending level of zero.  
This worksheet also computes the distance, which equals a constant times the weighted sum of the squared difference between the food plan quantity and current consumption quantity.  The distance is defined for any values of the 58 food groups.</t>
        </r>
        <r>
          <rPr>
            <sz val="8"/>
            <color indexed="81"/>
            <rFont val="Tahoma"/>
            <family val="2"/>
          </rPr>
          <t xml:space="preserve">
</t>
        </r>
      </text>
    </comment>
    <comment ref="R36" authorId="1">
      <text>
        <r>
          <rPr>
            <b/>
            <sz val="8"/>
            <color indexed="81"/>
            <rFont val="Tahoma"/>
            <family val="2"/>
          </rPr>
          <t>The TFP result is indexed as 1.00.  If your food plan is closer to current consumption than the TFP, this result will be less than 1.00, and if your food plan is farther away from current consumption than the TFP, your result will be greater than 1.00.</t>
        </r>
        <r>
          <rPr>
            <sz val="8"/>
            <color indexed="81"/>
            <rFont val="Tahoma"/>
            <family val="2"/>
          </rPr>
          <t xml:space="preserve">
</t>
        </r>
      </text>
    </comment>
    <comment ref="C37" authorId="0">
      <text>
        <r>
          <rPr>
            <b/>
            <sz val="8"/>
            <color indexed="81"/>
            <rFont val="Tahoma"/>
            <family val="2"/>
          </rPr>
          <t>Meat, poultry, and fish with grains or vegetables with more than the median amount of discretionary solid fat</t>
        </r>
      </text>
    </comment>
    <comment ref="O37" authorId="1">
      <text>
        <r>
          <rPr>
            <b/>
            <sz val="8"/>
            <color indexed="81"/>
            <rFont val="Tahoma"/>
            <family val="2"/>
          </rPr>
          <t>For the official TFP, USDA seeks to minimize the log distance, which equals the expenditure weighted sum of the squared difference between the log food plan quantity and the log current consumption quantity.  The log distance is undefined if any of the 58 food groups have a spending level of zero.  
This worksheet also computes the distance, which equals a constant times the weighted sum of the squared difference between the food plan quantity and current consumption quantity.  The distance is defined for any values of the 58 food groups.</t>
        </r>
        <r>
          <rPr>
            <sz val="8"/>
            <color indexed="81"/>
            <rFont val="Tahoma"/>
            <family val="2"/>
          </rPr>
          <t xml:space="preserve">
</t>
        </r>
      </text>
    </comment>
    <comment ref="R37" authorId="1">
      <text>
        <r>
          <rPr>
            <b/>
            <sz val="8"/>
            <color indexed="81"/>
            <rFont val="Tahoma"/>
            <family val="2"/>
          </rPr>
          <t>The TFP result is indexed as 1.00.  If your food plan is closer to current consumption than the TFP, this result will be less than 1.00, and if your food plan is farther away from current consumption than the TFP, your result will be greater than 1.00.</t>
        </r>
        <r>
          <rPr>
            <sz val="8"/>
            <color indexed="81"/>
            <rFont val="Tahoma"/>
            <family val="2"/>
          </rPr>
          <t xml:space="preserve">
</t>
        </r>
      </text>
    </comment>
    <comment ref="C38" authorId="0">
      <text>
        <r>
          <rPr>
            <b/>
            <sz val="8"/>
            <color indexed="81"/>
            <rFont val="Tahoma"/>
            <family val="2"/>
          </rPr>
          <t>Meat, poultry, and fish with grains or vegetables with the median amount of discretionary solid fat or less</t>
        </r>
      </text>
    </comment>
    <comment ref="C39" authorId="0">
      <text>
        <r>
          <rPr>
            <b/>
            <sz val="8"/>
            <color indexed="81"/>
            <rFont val="Tahoma"/>
            <family val="2"/>
          </rPr>
          <t>Black, red, pinto, lima, white, mung, and kidney beans and all types of peas—all with or without other foods; soybean products (e.g., miso, tofu, and soybean-based meat substitutes)</t>
        </r>
      </text>
    </comment>
    <comment ref="C40" authorId="0">
      <text>
        <r>
          <rPr>
            <b/>
            <sz val="8"/>
            <color indexed="81"/>
            <rFont val="Tahoma"/>
            <family val="2"/>
          </rPr>
          <t>Nuts, peanut butter and other nut butters, nut mixtures, carob, and seeds (e.g., sunflower, sesame, and pumpkin)</t>
        </r>
      </text>
    </comment>
    <comment ref="C41" authorId="0">
      <text>
        <r>
          <rPr>
            <b/>
            <sz val="8"/>
            <color indexed="81"/>
            <rFont val="Tahoma"/>
            <family val="2"/>
          </rPr>
          <t>Whole wheat, multigrain, or pumpernickel breads, rolls, bagels, scones, English muffins, biscuits, tortillas, and pancakes—all with 50% or more of ounce equivalents from whole grain</t>
        </r>
      </text>
    </comment>
    <comment ref="C42" authorId="0">
      <text>
        <r>
          <rPr>
            <b/>
            <sz val="8"/>
            <color indexed="81"/>
            <rFont val="Tahoma"/>
            <family val="2"/>
          </rPr>
          <t>White, French, potato, bran, or rye breads and rolls; muffins, English muffins, bagels, waffles, corn tortillas, taco shells, cornbread, and pancakes—all with less than 50% of ounce equivalents from whole grain</t>
        </r>
      </text>
    </comment>
    <comment ref="C43" authorId="0">
      <text>
        <r>
          <rPr>
            <b/>
            <sz val="8"/>
            <color indexed="81"/>
            <rFont val="Tahoma"/>
            <family val="2"/>
          </rPr>
          <t>Cooked cereal (e.g., cream of wheat, grits, and oat bran); sweetened or nonsweetened ready-to-eat cereals (e.g., frosted cornflakes and puffed rice)—all with less than 50% of ounce equivalents from whole grain</t>
        </r>
      </text>
    </comment>
    <comment ref="C44" authorId="0">
      <text>
        <r>
          <rPr>
            <b/>
            <sz val="8"/>
            <color indexed="81"/>
            <rFont val="Tahoma"/>
            <family val="2"/>
          </rPr>
          <t>Cooked cereals (e.g., oatmeal, bulgur, and buckwheat groats) without added sugars or fat; nonsweetened ready-to-eat cereals (e.g., shredded wheat and mueslix)—all with 50% or more of ounce equivalents from whole grain</t>
        </r>
      </text>
    </comment>
    <comment ref="C45" authorId="0">
      <text>
        <r>
          <rPr>
            <b/>
            <sz val="8"/>
            <color indexed="81"/>
            <rFont val="Tahoma"/>
            <family val="2"/>
          </rPr>
          <t>Cooked cereals (e.g., oatmeal and bulgur) with sugars, fat, and whole milk or 2% milk added; sweetened ready-to-eat cereals (e.g., frosted wheats and granola)—all with 50% or more of ounce equivalents from whole grain</t>
        </r>
      </text>
    </comment>
    <comment ref="C46" authorId="0">
      <text>
        <r>
          <rPr>
            <b/>
            <sz val="8"/>
            <color indexed="81"/>
            <rFont val="Tahoma"/>
            <family val="2"/>
          </rPr>
          <t>Brown rice, wild rice, whole wheat pasta (e.g., macaroni, spaghetti, and noodles)—all with 50% or more of ounce equivalents from whole grain</t>
        </r>
      </text>
    </comment>
    <comment ref="C47" authorId="0">
      <text>
        <r>
          <rPr>
            <b/>
            <sz val="8"/>
            <color indexed="81"/>
            <rFont val="Tahoma"/>
            <family val="2"/>
          </rPr>
          <t>Long or short white rice, sweet rice, rice noodles and pasta (e.g., macaroni, spaghetti, and noodles)—all with less than 50% of ounce equivalents from whole grain</t>
        </r>
      </text>
    </comment>
    <comment ref="C48" authorId="0">
      <text>
        <r>
          <rPr>
            <b/>
            <sz val="8"/>
            <color indexed="81"/>
            <rFont val="Tahoma"/>
            <family val="2"/>
          </rPr>
          <t>Oatmeal cookies, granola cookies, whole wheat doughnuts, granola bars, and graham crackers — all with 50% or more of ounce equivalents from whole grain</t>
        </r>
      </text>
    </comment>
    <comment ref="C49" authorId="0">
      <text>
        <r>
          <rPr>
            <b/>
            <sz val="8"/>
            <color indexed="81"/>
            <rFont val="Tahoma"/>
            <family val="2"/>
          </rPr>
          <t>Pies, cookies, pastries, doughnuts, shortbread; all cakes (e.g., white, yellow, shortcake, sponge, pound, and angel food); croissants; and sweet rolls—all with less than 50% of ounce equivalents from whole grain</t>
        </r>
      </text>
    </comment>
    <comment ref="C50" authorId="0">
      <text>
        <r>
          <rPr>
            <b/>
            <sz val="8"/>
            <color indexed="81"/>
            <rFont val="Tahoma"/>
            <family val="2"/>
          </rPr>
          <t>Popcorn, salty snacks, crackers, multigrain pretzels, and puffed wheat cakes—all with 50% or more of ounce equivalents from whole grain</t>
        </r>
      </text>
    </comment>
    <comment ref="C51" authorId="0">
      <text>
        <r>
          <rPr>
            <b/>
            <sz val="8"/>
            <color indexed="81"/>
            <rFont val="Tahoma"/>
            <family val="2"/>
          </rPr>
          <t>Crackers (e.g., soda, oyster, cheese, and rice); hard or soft pretzels; and salty snacks (e.g., tortilla chips)—all with less than 50% of ounce equivalents from whole grain</t>
        </r>
      </text>
    </comment>
    <comment ref="C52" authorId="0">
      <text>
        <r>
          <rPr>
            <b/>
            <sz val="8"/>
            <color indexed="81"/>
            <rFont val="Tahoma"/>
            <family val="2"/>
          </rPr>
          <t>Foods such as tacos, burritos, enchiladas, pizzas, egg rolls, and pasta and rice with meat where grain is major ingredient and containing 6% or more fat by weight</t>
        </r>
      </text>
    </comment>
    <comment ref="C53" authorId="0">
      <text>
        <r>
          <rPr>
            <b/>
            <sz val="8"/>
            <color indexed="81"/>
            <rFont val="Tahoma"/>
            <family val="2"/>
          </rPr>
          <t>Foods such as rice and pasta with vegetables and/or beans, noodle or rice soups with vegetables and/or meat, and garden rolls where grain is major ingredient and containing less than 6% fat by weight</t>
        </r>
      </text>
    </comment>
    <comment ref="C54" authorId="0">
      <text>
        <r>
          <rPr>
            <b/>
            <sz val="8"/>
            <color indexed="81"/>
            <rFont val="Tahoma"/>
            <family val="2"/>
          </rPr>
          <t>100% fruit juices made from citrus fruits, melons, and berries</t>
        </r>
      </text>
    </comment>
    <comment ref="C55" authorId="0">
      <text>
        <r>
          <rPr>
            <b/>
            <sz val="8"/>
            <color indexed="81"/>
            <rFont val="Tahoma"/>
            <family val="2"/>
          </rPr>
          <t>Oranges, grapefruits, limes, lemons, and tangelos; melons (e.g.,watermelon, cantaloupe, and honeydew); berries (e.g., strawberries, blueberries, cranberries, raspberries, and blackberries)</t>
        </r>
      </text>
    </comment>
    <comment ref="C56" authorId="0">
      <text>
        <r>
          <rPr>
            <b/>
            <sz val="8"/>
            <color indexed="81"/>
            <rFont val="Tahoma"/>
            <family val="2"/>
          </rPr>
          <t>100% fruit juices made from fruits other than citrus fruits, melons, and berries</t>
        </r>
      </text>
    </comment>
    <comment ref="C57" authorId="0">
      <text>
        <r>
          <rPr>
            <b/>
            <sz val="8"/>
            <color indexed="81"/>
            <rFont val="Tahoma"/>
            <family val="2"/>
          </rPr>
          <t>Fruits such as bananas, apples, cherries, peaches, pears, grapes, plums, papayas, and apricots</t>
        </r>
      </text>
    </comment>
    <comment ref="C58" authorId="0">
      <text>
        <r>
          <rPr>
            <b/>
            <sz val="8"/>
            <color indexed="81"/>
            <rFont val="Tahoma"/>
            <family val="2"/>
          </rPr>
          <t>French-fried potatoes, potato chips, hash browns, potato puffs, potato patty; and potato salads and mashed potatoes with added fat, eggs, or cheese</t>
        </r>
      </text>
    </comment>
    <comment ref="C59" authorId="0">
      <text>
        <r>
          <rPr>
            <b/>
            <sz val="8"/>
            <color indexed="81"/>
            <rFont val="Tahoma"/>
            <family val="2"/>
          </rPr>
          <t>Boiled, baked, scalloped, mashed, and stuffed potatoes; and potato salad, German style</t>
        </r>
      </text>
    </comment>
    <comment ref="M59" authorId="0">
      <text>
        <r>
          <rPr>
            <b/>
            <sz val="8"/>
            <color indexed="81"/>
            <rFont val="Tahoma"/>
            <family val="2"/>
          </rPr>
          <t xml:space="preserve"> mg/day</t>
        </r>
      </text>
    </comment>
    <comment ref="C60" authorId="0">
      <text>
        <r>
          <rPr>
            <b/>
            <sz val="8"/>
            <color indexed="81"/>
            <rFont val="Tahoma"/>
            <family val="2"/>
          </rPr>
          <t>All dark-green vegetables such as broccoli, spinach, chard, collard greens, mustard greens, and kale—with fat added</t>
        </r>
      </text>
    </comment>
    <comment ref="M60" authorId="0">
      <text>
        <r>
          <rPr>
            <b/>
            <sz val="8"/>
            <color indexed="81"/>
            <rFont val="Tahoma"/>
            <family val="2"/>
          </rPr>
          <t xml:space="preserve"> g/day</t>
        </r>
      </text>
    </comment>
    <comment ref="C61" authorId="0">
      <text>
        <r>
          <rPr>
            <b/>
            <sz val="8"/>
            <color indexed="81"/>
            <rFont val="Tahoma"/>
            <family val="2"/>
          </rPr>
          <t>All orange vegetables such as carrots, pumpkin, winter squash, and sweet potatoes—with fat added</t>
        </r>
      </text>
    </comment>
    <comment ref="M61" authorId="0">
      <text>
        <r>
          <rPr>
            <b/>
            <sz val="8"/>
            <color indexed="81"/>
            <rFont val="Tahoma"/>
            <family val="2"/>
          </rPr>
          <t xml:space="preserve"> micrograms/day</t>
        </r>
      </text>
    </comment>
    <comment ref="C62" authorId="0">
      <text>
        <r>
          <rPr>
            <b/>
            <sz val="8"/>
            <color indexed="81"/>
            <rFont val="Tahoma"/>
            <family val="2"/>
          </rPr>
          <t>All dark-green vegetables such as broccoli, spinach, chard, collard greens, mustard greens, and kale—without fat added</t>
        </r>
      </text>
    </comment>
    <comment ref="M62" authorId="0">
      <text>
        <r>
          <rPr>
            <b/>
            <sz val="8"/>
            <color indexed="81"/>
            <rFont val="Tahoma"/>
            <family val="2"/>
          </rPr>
          <t xml:space="preserve"> micrograms/day</t>
        </r>
      </text>
    </comment>
    <comment ref="C63" authorId="0">
      <text>
        <r>
          <rPr>
            <b/>
            <sz val="8"/>
            <color indexed="81"/>
            <rFont val="Tahoma"/>
            <family val="2"/>
          </rPr>
          <t>All orange vegetables such as carrots, pumpkin, winter squash, and sweet potatoes—without fat added</t>
        </r>
      </text>
    </comment>
    <comment ref="M63" authorId="0">
      <text>
        <r>
          <rPr>
            <b/>
            <sz val="8"/>
            <color indexed="81"/>
            <rFont val="Tahoma"/>
            <family val="2"/>
          </rPr>
          <t xml:space="preserve"> mg/day</t>
        </r>
      </text>
    </comment>
    <comment ref="C64" authorId="0">
      <text>
        <r>
          <rPr>
            <b/>
            <sz val="8"/>
            <color indexed="81"/>
            <rFont val="Tahoma"/>
            <family val="2"/>
          </rPr>
          <t>All other vegetables such as green beans, beets, cabbage, cauliflower, corn, eggplant, green peas, iceberg lettuce, bell pepper, snow peas, turnip, and Brussels sprouts—with fat added</t>
        </r>
      </text>
    </comment>
    <comment ref="M64" authorId="0">
      <text>
        <r>
          <rPr>
            <b/>
            <sz val="8"/>
            <color indexed="81"/>
            <rFont val="Tahoma"/>
            <family val="2"/>
          </rPr>
          <t xml:space="preserve"> mg/day</t>
        </r>
      </text>
    </comment>
    <comment ref="C65" authorId="0">
      <text>
        <r>
          <rPr>
            <b/>
            <sz val="8"/>
            <color indexed="81"/>
            <rFont val="Tahoma"/>
            <family val="2"/>
          </rPr>
          <t>Tomato, tomato sauce, tomato puree, tomato paste, tomato soup, and tomato juice—with fat added</t>
        </r>
      </text>
    </comment>
    <comment ref="M65" authorId="0">
      <text>
        <r>
          <rPr>
            <b/>
            <sz val="8"/>
            <color indexed="81"/>
            <rFont val="Tahoma"/>
            <family val="2"/>
          </rPr>
          <t xml:space="preserve"> micrograms/day</t>
        </r>
      </text>
    </comment>
    <comment ref="C66" authorId="0">
      <text>
        <r>
          <rPr>
            <b/>
            <sz val="8"/>
            <color indexed="81"/>
            <rFont val="Tahoma"/>
            <family val="2"/>
          </rPr>
          <t>All other vegetables such as green beans, beets, cabbage, cauliflower, corn, eggplant, green peas, iceberg lettuce, bell pepper, snow peas, turnip, and Brussels sprouts—without fat added</t>
        </r>
      </text>
    </comment>
    <comment ref="M66" authorId="0">
      <text>
        <r>
          <rPr>
            <b/>
            <sz val="8"/>
            <color indexed="81"/>
            <rFont val="Tahoma"/>
            <family val="2"/>
          </rPr>
          <t xml:space="preserve"> mg/day</t>
        </r>
      </text>
    </comment>
    <comment ref="C67" authorId="0">
      <text>
        <r>
          <rPr>
            <b/>
            <sz val="8"/>
            <color indexed="81"/>
            <rFont val="Tahoma"/>
            <family val="2"/>
          </rPr>
          <t>Tomato, tomato sauce, tomato puree, tomato paste, tomato soup, and tomato juice—without fat added</t>
        </r>
      </text>
    </comment>
    <comment ref="M67" authorId="0">
      <text>
        <r>
          <rPr>
            <b/>
            <sz val="8"/>
            <color indexed="81"/>
            <rFont val="Tahoma"/>
            <family val="2"/>
          </rPr>
          <t xml:space="preserve"> mg/day</t>
        </r>
      </text>
    </comment>
    <comment ref="C68" authorId="0">
      <text>
        <r>
          <rPr>
            <b/>
            <sz val="8"/>
            <color indexed="81"/>
            <rFont val="Tahoma"/>
            <family val="2"/>
          </rPr>
          <t>Foods such as stuffed vegetables, creamed peas and carrots, batter-dipped fried vegetables, and vegetable stir-fry where vegetables are the primary ingredient—with fat added</t>
        </r>
      </text>
    </comment>
    <comment ref="C69" authorId="0">
      <text>
        <r>
          <rPr>
            <b/>
            <sz val="8"/>
            <color indexed="81"/>
            <rFont val="Tahoma"/>
            <family val="2"/>
          </rPr>
          <t>Foods such as stuffed vegetables, creamed peas and carrots, batter-dipped fried vegetables, and vegetable stir-fry where vegetables are the primary ingredient—without fat added</t>
        </r>
      </text>
    </comment>
    <comment ref="C70" authorId="0">
      <text>
        <r>
          <rPr>
            <b/>
            <sz val="8"/>
            <color indexed="81"/>
            <rFont val="Tahoma"/>
            <family val="2"/>
          </rPr>
          <t>Butter, margarine, vegetable oils (e.g., corn, olive, and sunflower), butter blends, salad oils, lard, shortenings, all salad dressings, mayonnaise, pickles, relishes, salsa, soy sauce, catsup, tomato paste, and gravies and sauces</t>
        </r>
      </text>
    </comment>
    <comment ref="C71" authorId="0">
      <text>
        <r>
          <rPr>
            <b/>
            <sz val="8"/>
            <color indexed="81"/>
            <rFont val="Tahoma"/>
            <family val="2"/>
          </rPr>
          <t>Instant, ground, and fluid coffees and teas with or without caffeine and with or without sugar or sweeteners</t>
        </r>
      </text>
    </comment>
    <comment ref="C72" authorId="0">
      <text>
        <r>
          <rPr>
            <b/>
            <sz val="8"/>
            <color indexed="81"/>
            <rFont val="Tahoma"/>
            <family val="2"/>
          </rPr>
          <t>Fruit drinks, cola- and pepper-type soft drinks, ginger ale, root beer, fruit punches, ades (e.g., lemonades and limeades), and other sodas containing sugar</t>
        </r>
      </text>
    </comment>
    <comment ref="C73" authorId="0">
      <text>
        <r>
          <rPr>
            <b/>
            <sz val="8"/>
            <color indexed="81"/>
            <rFont val="Tahoma"/>
            <family val="2"/>
          </rPr>
          <t>Sugar-free or low-sugar drinks such as cola- and pepper-type soft drinks, ginger ale, root beer, fruit-flavored drinks, fruit punches, ades, and other sodas</t>
        </r>
      </text>
    </comment>
    <comment ref="M73" authorId="0">
      <text>
        <r>
          <rPr>
            <b/>
            <sz val="8"/>
            <color indexed="81"/>
            <rFont val="Tahoma"/>
            <family val="2"/>
          </rPr>
          <t xml:space="preserve"> mg/day</t>
        </r>
      </text>
    </comment>
    <comment ref="C74" authorId="0">
      <text>
        <r>
          <rPr>
            <b/>
            <sz val="8"/>
            <color indexed="81"/>
            <rFont val="Tahoma"/>
            <family val="2"/>
          </rPr>
          <t>All types of sugars, sweeteners, and syrups (e.g., honey, jams, jellies, marmalades, preserves, icings, gelatin desserts, marshmallow, and fudge); all types of candies and chocolates; and chewing gum</t>
        </r>
      </text>
    </comment>
    <comment ref="M74" authorId="0">
      <text>
        <r>
          <rPr>
            <b/>
            <sz val="8"/>
            <color indexed="81"/>
            <rFont val="Tahoma"/>
            <family val="2"/>
          </rPr>
          <t xml:space="preserve"> mg/day</t>
        </r>
      </text>
    </comment>
  </commentList>
</comments>
</file>

<file path=xl/comments2.xml><?xml version="1.0" encoding="utf-8"?>
<comments xmlns="http://schemas.openxmlformats.org/spreadsheetml/2006/main">
  <authors>
    <author>Joseph Llobrera</author>
  </authors>
  <commentList>
    <comment ref="D5" authorId="0">
      <text>
        <r>
          <rPr>
            <b/>
            <sz val="9"/>
            <color indexed="81"/>
            <rFont val="Verdana"/>
            <family val="2"/>
          </rPr>
          <t>Joseph Llobrera:</t>
        </r>
        <r>
          <rPr>
            <sz val="9"/>
            <color indexed="81"/>
            <rFont val="Verdana"/>
            <family val="2"/>
          </rPr>
          <t xml:space="preserve">
AgeSexFoodCost says 2.45</t>
        </r>
      </text>
    </comment>
  </commentList>
</comments>
</file>

<file path=xl/sharedStrings.xml><?xml version="1.0" encoding="utf-8"?>
<sst xmlns="http://schemas.openxmlformats.org/spreadsheetml/2006/main" count="3442" uniqueCount="664">
  <si>
    <t>Fiber (g) per 1000 Calories</t>
  </si>
  <si>
    <t>Folate (micrograms) per 1000 Calories</t>
  </si>
  <si>
    <t>Vit A (micrograms) per 1000 Calories</t>
  </si>
  <si>
    <t>Grain mixtures - lowfat</t>
  </si>
  <si>
    <r>
      <t xml:space="preserve">STEP 1: </t>
    </r>
    <r>
      <rPr>
        <b/>
        <sz val="10"/>
        <color indexed="10"/>
        <rFont val="Arial"/>
        <family val="2"/>
      </rPr>
      <t xml:space="preserve"> Click on the cell below to select your group from the menu:</t>
    </r>
  </si>
  <si>
    <t xml:space="preserve">  Vegetables</t>
  </si>
  <si>
    <t xml:space="preserve">     Leafy green vegetables</t>
  </si>
  <si>
    <t xml:space="preserve">     Orange vegetables</t>
  </si>
  <si>
    <t>Monthly expenditure in each food group, by age-sex group</t>
  </si>
  <si>
    <r>
      <t xml:space="preserve">Milk-based </t>
    </r>
    <r>
      <rPr>
        <b/>
        <sz val="10"/>
        <rFont val="Arial"/>
        <family val="2"/>
      </rPr>
      <t>deserts</t>
    </r>
  </si>
  <si>
    <r>
      <t xml:space="preserve">Low fat milk-based </t>
    </r>
    <r>
      <rPr>
        <b/>
        <sz val="10"/>
        <rFont val="Arial"/>
        <family val="2"/>
      </rPr>
      <t>deserts</t>
    </r>
  </si>
  <si>
    <r>
      <t xml:space="preserve">Whole grain low fat </t>
    </r>
    <r>
      <rPr>
        <b/>
        <sz val="10"/>
        <rFont val="Arial"/>
        <family val="2"/>
      </rPr>
      <t>cereals</t>
    </r>
  </si>
  <si>
    <t>Meat, poultry, and fish mixtures - low discretionary solid fat</t>
  </si>
  <si>
    <t>Dry beans, peas, lentil dishes, and mixtures</t>
  </si>
  <si>
    <t>legumes meat</t>
  </si>
  <si>
    <t>Nuts and seeds</t>
  </si>
  <si>
    <t>14-18 years</t>
  </si>
  <si>
    <t>Mixed vegetables - added fat</t>
  </si>
  <si>
    <t>This cost is the upper limit of food spending set by the USDA for the Thrifty Food Plan.</t>
  </si>
  <si>
    <t>Sodium (mg) per Calorie</t>
  </si>
  <si>
    <t>Sodium (mg) per 1000 Calories</t>
  </si>
  <si>
    <t>Foods High in Saturated Fat</t>
  </si>
  <si>
    <t>Sat fat (g) per Calorie</t>
  </si>
  <si>
    <t>Saturated Fat (g) per $</t>
  </si>
  <si>
    <r>
      <t xml:space="preserve">The amounts in the columns labeled </t>
    </r>
    <r>
      <rPr>
        <b/>
        <sz val="10"/>
        <rFont val="Arial"/>
        <family val="2"/>
      </rPr>
      <t>Cost-Only Solution</t>
    </r>
    <r>
      <rPr>
        <sz val="10"/>
        <rFont val="Arial"/>
        <family val="2"/>
      </rPr>
      <t xml:space="preserve"> represent current consumption levels that have been prorated downward to meet the cost constraint.</t>
    </r>
  </si>
  <si>
    <r>
      <t xml:space="preserve">The amounts in the columns labeled </t>
    </r>
    <r>
      <rPr>
        <b/>
        <sz val="10"/>
        <rFont val="Arial"/>
        <family val="2"/>
      </rPr>
      <t>TFP Model</t>
    </r>
    <r>
      <rPr>
        <sz val="10"/>
        <rFont val="Arial"/>
        <family val="2"/>
      </rPr>
      <t xml:space="preserve"> represent the consumption levels according to USDA's official Thrifty Food Plan.</t>
    </r>
  </si>
  <si>
    <t>beef, port, veal, lamb, and game</t>
  </si>
  <si>
    <t>Red meats - low discretionary solid fat, low cost</t>
  </si>
  <si>
    <t>Milk and milk-based foods - lower fat</t>
  </si>
  <si>
    <t>Cheese</t>
  </si>
  <si>
    <t>Milk-based drinks and desserts - regular fat</t>
  </si>
  <si>
    <t>Milk-bases drinks and desserts - lower fat</t>
  </si>
  <si>
    <t>linolenic_KCAL</t>
  </si>
  <si>
    <t>orange vegetables</t>
  </si>
  <si>
    <t>Rice and pasta - non-whole grain</t>
  </si>
  <si>
    <t>Saturated Fat (g) per 1000 Calories</t>
  </si>
  <si>
    <t>Milk-based desserts</t>
  </si>
  <si>
    <t>Low fat milk-based desserts</t>
  </si>
  <si>
    <t>Foods High in Fat</t>
  </si>
  <si>
    <t>Fat (g) per $</t>
  </si>
  <si>
    <t>Fat (g) per Calorie</t>
  </si>
  <si>
    <t>Fat (g) per 1000 Calories</t>
  </si>
  <si>
    <t>Index #</t>
  </si>
  <si>
    <t>STEP 1</t>
  </si>
  <si>
    <t>Males</t>
  </si>
  <si>
    <t>Females</t>
  </si>
  <si>
    <t>Calcium (mg) per 1000 Calorie</t>
  </si>
  <si>
    <t>Calcium (mg) per 1000 Calories</t>
  </si>
  <si>
    <t>Tomatoes</t>
  </si>
  <si>
    <t>Fats and oils</t>
  </si>
  <si>
    <t>Coffee</t>
  </si>
  <si>
    <t>Soft drinks</t>
  </si>
  <si>
    <t>mpfmixtrlo</t>
  </si>
  <si>
    <t>leguveg</t>
  </si>
  <si>
    <t>nutseeds</t>
  </si>
  <si>
    <t>Vit C (mg) per 1000 Calories</t>
  </si>
  <si>
    <t>Vit B6 (mg) per 1000 Calories</t>
  </si>
  <si>
    <t>Vit B12 (micrograms) per 1000 Calories</t>
  </si>
  <si>
    <t xml:space="preserve">     Whole grains</t>
  </si>
  <si>
    <t xml:space="preserve">  Other</t>
  </si>
  <si>
    <r>
      <t xml:space="preserve">Milk-based </t>
    </r>
    <r>
      <rPr>
        <b/>
        <sz val="10"/>
        <rFont val="Arial"/>
        <family val="2"/>
      </rPr>
      <t>desserts</t>
    </r>
  </si>
  <si>
    <r>
      <t xml:space="preserve">Low fat milk-based </t>
    </r>
    <r>
      <rPr>
        <b/>
        <sz val="10"/>
        <rFont val="Arial"/>
        <family val="2"/>
      </rPr>
      <t>desserts</t>
    </r>
  </si>
  <si>
    <r>
      <t xml:space="preserve">Whole grain low calorie </t>
    </r>
    <r>
      <rPr>
        <b/>
        <sz val="10"/>
        <rFont val="Arial"/>
        <family val="2"/>
      </rPr>
      <t>cereals</t>
    </r>
  </si>
  <si>
    <t>Whole grain low calorie cereals</t>
  </si>
  <si>
    <r>
      <t>STEP 2:</t>
    </r>
    <r>
      <rPr>
        <b/>
        <sz val="10"/>
        <color indexed="10"/>
        <rFont val="Arial"/>
        <family val="2"/>
      </rPr>
      <t xml:space="preserve">  Enter monthly spending for each food group:</t>
    </r>
  </si>
  <si>
    <t>Foods High in Cholesterol</t>
  </si>
  <si>
    <t>Breads, yeast and quick - whole grain</t>
  </si>
  <si>
    <t>Breads, yeast and quick - non-whole grain</t>
  </si>
  <si>
    <t>Breakfast cereal - non-whole grain</t>
  </si>
  <si>
    <t>c)  Distance from Current Consumption</t>
  </si>
  <si>
    <t>d)  Energy</t>
  </si>
  <si>
    <t>e)  Macronutrients</t>
  </si>
  <si>
    <t>f)  Micronutrients</t>
  </si>
  <si>
    <t>lb/week</t>
  </si>
  <si>
    <t>100g/day</t>
  </si>
  <si>
    <t>g/day</t>
  </si>
  <si>
    <t>calories/day</t>
  </si>
  <si>
    <t>Average current consumption of food groups, by age-sex group</t>
  </si>
  <si>
    <t>in 100g/day</t>
  </si>
  <si>
    <t>Children</t>
  </si>
  <si>
    <t>potatoreg</t>
  </si>
  <si>
    <t>grnveg</t>
  </si>
  <si>
    <t>yelveg</t>
  </si>
  <si>
    <t>grnvegr</t>
  </si>
  <si>
    <t>yelvegr</t>
  </si>
  <si>
    <t>othervegf</t>
  </si>
  <si>
    <t>tomatof</t>
  </si>
  <si>
    <t>othervegr</t>
  </si>
  <si>
    <t>Iron (mg) per 1000 Calories</t>
  </si>
  <si>
    <t>Cholesterol (mg) per $</t>
  </si>
  <si>
    <t>Cholesterol (mg) per Calorie</t>
  </si>
  <si>
    <t>convert to equal TFP</t>
  </si>
  <si>
    <t xml:space="preserve">  Average daily calories</t>
  </si>
  <si>
    <t xml:space="preserve">  Fruits</t>
  </si>
  <si>
    <t xml:space="preserve">  Milk</t>
  </si>
  <si>
    <t xml:space="preserve">  Meat and Beans</t>
  </si>
  <si>
    <t>grainmixlo</t>
  </si>
  <si>
    <t>citrusetcfjc</t>
  </si>
  <si>
    <t>citrusetcfwh</t>
  </si>
  <si>
    <t>otherfruitjc</t>
  </si>
  <si>
    <t>otherfruitwh</t>
  </si>
  <si>
    <t>potatohif</t>
  </si>
  <si>
    <t>Meat, poultry, and fish mixtures - regular discretionary solid fat</t>
  </si>
  <si>
    <t>Potato products - regular fat</t>
  </si>
  <si>
    <t>potato products - lowfat</t>
  </si>
  <si>
    <t>Orange vegetables - no added fat</t>
  </si>
  <si>
    <t>Other vegetables - added fat</t>
  </si>
  <si>
    <t>tomatoes - added fat</t>
  </si>
  <si>
    <t>Other vegetables - no added fat</t>
  </si>
  <si>
    <t>Female, 71+ yrs</t>
  </si>
  <si>
    <t>Male, 71+ yrs</t>
  </si>
  <si>
    <t>D_TOTAL</t>
  </si>
  <si>
    <t>M_tot_meat</t>
  </si>
  <si>
    <t>discfat_oil</t>
  </si>
  <si>
    <t>SOFASUG_tot_kcal</t>
  </si>
  <si>
    <t>G_WHL</t>
  </si>
  <si>
    <t>USDA Thrifty Food Plan model results</t>
  </si>
  <si>
    <t>vit_e</t>
  </si>
  <si>
    <t>vitA_rae</t>
  </si>
  <si>
    <t>zinc</t>
  </si>
  <si>
    <t>linoleic_KCAL</t>
  </si>
  <si>
    <t>V_DRKGR</t>
  </si>
  <si>
    <t>Mixed vegetables - no added fat</t>
  </si>
  <si>
    <t>Percent of TFP budget</t>
  </si>
  <si>
    <t>potassi</t>
  </si>
  <si>
    <t>riboflav</t>
  </si>
  <si>
    <t>sodium</t>
  </si>
  <si>
    <t>food group/total</t>
  </si>
  <si>
    <t>http://www.mypyramid.gov/downloads/MiniPoster.pdf</t>
  </si>
  <si>
    <t>Source</t>
  </si>
  <si>
    <t>MyPyramid.gov</t>
  </si>
  <si>
    <t>Mini-Poster available at http://www.mypyramid.gov/downloads/MiniPoster.pdf</t>
  </si>
  <si>
    <t>Objective function</t>
  </si>
  <si>
    <t>share*((qty-current qty)^2)</t>
  </si>
  <si>
    <t>share*((ln(qty)-ln(current qty)^2)</t>
  </si>
  <si>
    <t>entered quantity</t>
  </si>
  <si>
    <t>quantity (g/day)</t>
  </si>
  <si>
    <t>Fats, oils, salad dressings, sauces, and condiments</t>
  </si>
  <si>
    <t>Red meats - regular discretionary solid fat, regular cost</t>
  </si>
  <si>
    <t xml:space="preserve">  Total monthly spending</t>
  </si>
  <si>
    <t>allcheese</t>
  </si>
  <si>
    <t>milkdesrtr</t>
  </si>
  <si>
    <t>milkdsrtlo</t>
  </si>
  <si>
    <t>lcredmthif</t>
  </si>
  <si>
    <t>rcredmthif</t>
  </si>
  <si>
    <t>Cholesterol (mg) per 1000 Calories</t>
  </si>
  <si>
    <t>Foods High in Sodium</t>
  </si>
  <si>
    <t>Sodium (mg) per $</t>
  </si>
  <si>
    <t>lcpouhf</t>
  </si>
  <si>
    <t>rcpouhf</t>
  </si>
  <si>
    <t>lcpouln</t>
  </si>
  <si>
    <t>rcpouln</t>
  </si>
  <si>
    <r>
      <t xml:space="preserve">These values may be copied and pasted into the column for Step 2 in the worksheet named </t>
    </r>
    <r>
      <rPr>
        <b/>
        <sz val="10"/>
        <rFont val="Arial"/>
        <family val="2"/>
      </rPr>
      <t>TFP</t>
    </r>
    <r>
      <rPr>
        <sz val="10"/>
        <rFont val="Arial"/>
        <family val="2"/>
      </rPr>
      <t>.</t>
    </r>
  </si>
  <si>
    <t xml:space="preserve">  Grains</t>
  </si>
  <si>
    <t>Limit your intake of these nutrients</t>
  </si>
  <si>
    <t>Other vegetables</t>
  </si>
  <si>
    <t>Percent of total calories</t>
  </si>
  <si>
    <t>Are you getting enough?</t>
  </si>
  <si>
    <t>Get Enough of these Nutrients</t>
  </si>
  <si>
    <t>Food group prices, by age-sex group</t>
  </si>
  <si>
    <t>Nutrient Content per 100g of food</t>
  </si>
  <si>
    <r>
      <t xml:space="preserve">The amounts in the columns labeled </t>
    </r>
    <r>
      <rPr>
        <b/>
        <sz val="10"/>
        <rFont val="Arial"/>
        <family val="2"/>
      </rPr>
      <t>Current Consumption</t>
    </r>
    <r>
      <rPr>
        <sz val="10"/>
        <rFont val="Arial"/>
        <family val="2"/>
      </rPr>
      <t xml:space="preserve"> represent the average consumption levels for a low-income U.S. population.</t>
    </r>
  </si>
  <si>
    <t xml:space="preserve">Choose monthly spending levels for the 58 food groups.  </t>
  </si>
  <si>
    <t>Red meats - regular discretionary solid fat, low cost</t>
  </si>
  <si>
    <t>Servings of fats and oils</t>
  </si>
  <si>
    <t>Servings of whole grains</t>
  </si>
  <si>
    <t>fish and fish products</t>
  </si>
  <si>
    <t>chicken, turkey and game birds</t>
  </si>
  <si>
    <t>Milk drinks and milk desserts</t>
  </si>
  <si>
    <t>Milk and milk-based foods - regular fat</t>
  </si>
  <si>
    <t>Poultry - regular discretionary solid fat, low cost</t>
  </si>
  <si>
    <t>popcorn and other whole grain snacks</t>
  </si>
  <si>
    <t>fruit juices</t>
  </si>
  <si>
    <t>whole fruits</t>
  </si>
  <si>
    <t>all potato products</t>
  </si>
  <si>
    <t>dark-green vegetables</t>
  </si>
  <si>
    <t>Dark green vegetables</t>
  </si>
  <si>
    <t>other vegetables</t>
  </si>
  <si>
    <r>
      <t xml:space="preserve">Low fat </t>
    </r>
    <r>
      <rPr>
        <b/>
        <sz val="10"/>
        <rFont val="Arial"/>
        <family val="2"/>
      </rPr>
      <t>meat mixtures</t>
    </r>
  </si>
  <si>
    <t>table fats, oils and salad dressings; sauces and condiments</t>
  </si>
  <si>
    <t>coffee and tea</t>
  </si>
  <si>
    <r>
      <t xml:space="preserve">Whole grain </t>
    </r>
    <r>
      <rPr>
        <b/>
        <sz val="10"/>
        <rFont val="Arial"/>
        <family val="2"/>
      </rPr>
      <t>cereals</t>
    </r>
  </si>
  <si>
    <t>sugars, sweets and candy</t>
  </si>
  <si>
    <t>Breakfast cereal - whole grain, low calories</t>
  </si>
  <si>
    <t>Cakes, pies, and other sweet bakery products - whole grain</t>
  </si>
  <si>
    <t>The log distance and distance offer two ways of comparing your food plan to the average current consumption of low-income Americans.  If your food plan is the same as current consumption, these values are zero.   If your food plan is much different from current consumption, these values are large positive numbers.  Experimentation is required to understand what distance is "small" or "large".</t>
  </si>
  <si>
    <t>a)  Spending</t>
  </si>
  <si>
    <t>b)  Broad Food Categories</t>
  </si>
  <si>
    <r>
      <rPr>
        <b/>
        <sz val="10"/>
        <rFont val="Arial"/>
        <family val="2"/>
      </rPr>
      <t>Dark green vegetables</t>
    </r>
    <r>
      <rPr>
        <sz val="10"/>
        <rFont val="Arial"/>
        <family val="2"/>
      </rPr>
      <t>, no fat</t>
    </r>
  </si>
  <si>
    <r>
      <rPr>
        <b/>
        <sz val="10"/>
        <rFont val="Arial"/>
        <family val="2"/>
      </rPr>
      <t>Orange vegetables</t>
    </r>
    <r>
      <rPr>
        <sz val="10"/>
        <rFont val="Arial"/>
        <family val="2"/>
      </rPr>
      <t>, no fat</t>
    </r>
  </si>
  <si>
    <r>
      <rPr>
        <b/>
        <sz val="10"/>
        <rFont val="Arial"/>
        <family val="2"/>
      </rPr>
      <t>Other vegetables</t>
    </r>
    <r>
      <rPr>
        <sz val="10"/>
        <rFont val="Arial"/>
        <family val="2"/>
      </rPr>
      <t>, no fat</t>
    </r>
  </si>
  <si>
    <r>
      <rPr>
        <b/>
        <sz val="10"/>
        <rFont val="Arial"/>
        <family val="2"/>
      </rPr>
      <t>Tomatoes</t>
    </r>
    <r>
      <rPr>
        <sz val="10"/>
        <rFont val="Arial"/>
        <family val="2"/>
      </rPr>
      <t>, no fat</t>
    </r>
  </si>
  <si>
    <r>
      <rPr>
        <b/>
        <sz val="10"/>
        <rFont val="Arial"/>
        <family val="2"/>
      </rPr>
      <t>Mixed vegetables</t>
    </r>
    <r>
      <rPr>
        <sz val="10"/>
        <rFont val="Arial"/>
        <family val="2"/>
      </rPr>
      <t>, no fat</t>
    </r>
  </si>
  <si>
    <r>
      <t xml:space="preserve">Low calorie </t>
    </r>
    <r>
      <rPr>
        <b/>
        <sz val="10"/>
        <rFont val="Arial"/>
        <family val="2"/>
      </rPr>
      <t>soft drinks</t>
    </r>
  </si>
  <si>
    <t>objective function (log)</t>
  </si>
  <si>
    <t>% of objective function (log)</t>
  </si>
  <si>
    <t>Female, 14-18 yrs</t>
  </si>
  <si>
    <t>grainsnacwh</t>
  </si>
  <si>
    <t>grainsnacnwh</t>
  </si>
  <si>
    <t>grainmixr</t>
  </si>
  <si>
    <t>Cakes, pies, and other sweet bakery products - non-whole grain</t>
  </si>
  <si>
    <t>TFP, Weekly</t>
  </si>
  <si>
    <t>TFP, Monthly</t>
  </si>
  <si>
    <t>current consumption (g/day)</t>
  </si>
  <si>
    <t>in dollars/100g</t>
  </si>
  <si>
    <t>Choose a gender and age range (such as female 20-50 years old).  There are different recommended nutrition standards, cost targets, and starting values based on your gender and age selection.</t>
  </si>
  <si>
    <t>canned and dry beans, lentils and peas</t>
  </si>
  <si>
    <t>Potassium (mg) per 1000 Calories</t>
  </si>
  <si>
    <t>Monthly spending per group</t>
  </si>
  <si>
    <t>Average daily number of servings</t>
  </si>
  <si>
    <t>Eggs and egg mixtures</t>
  </si>
  <si>
    <t>TFP member</t>
  </si>
  <si>
    <t>Current Consumption</t>
  </si>
  <si>
    <t>CNPP Target</t>
  </si>
  <si>
    <t>Percent Factor</t>
  </si>
  <si>
    <t>Fruit juices other than citrus, melon, and berry</t>
  </si>
  <si>
    <t>Fruits other than citrus fruits, melons, and berries</t>
  </si>
  <si>
    <t>Dark-green vegetables - no added fat</t>
  </si>
  <si>
    <t>children age 1</t>
  </si>
  <si>
    <t>Age/Sex Group</t>
  </si>
  <si>
    <t>Age/Sex group code</t>
  </si>
  <si>
    <t>Age/Sex group name</t>
  </si>
  <si>
    <t>Weekly Cost ($)</t>
  </si>
  <si>
    <t>Daily Cost ($)</t>
  </si>
  <si>
    <t>G_TOTAL</t>
  </si>
  <si>
    <t>V_TOT</t>
  </si>
  <si>
    <t>F_TOTAL</t>
  </si>
  <si>
    <t>Good Sources of Potassium</t>
  </si>
  <si>
    <t>Potassium (mg) per $</t>
  </si>
  <si>
    <t>Potassium (mg) per Calorie</t>
  </si>
  <si>
    <t>Potatoes</t>
  </si>
  <si>
    <t>Female, 51-70 yrs</t>
  </si>
  <si>
    <t>Good Sources of Iron</t>
  </si>
  <si>
    <t>result based on ln objective function</t>
  </si>
  <si>
    <t>LEGUME_veg</t>
  </si>
  <si>
    <t>V_STARCY_py</t>
  </si>
  <si>
    <t>V_OTHER_py</t>
  </si>
  <si>
    <t>F_whole</t>
  </si>
  <si>
    <t>whlmilkncrm</t>
  </si>
  <si>
    <t>V_DPYEL</t>
  </si>
  <si>
    <t>thiamin</t>
  </si>
  <si>
    <t>vit_b12</t>
  </si>
  <si>
    <t>vit_b6</t>
  </si>
  <si>
    <t>vit_c</t>
  </si>
  <si>
    <t>Dark-green vegetables - added fat</t>
  </si>
  <si>
    <t>Poultry - regular discretionary solid fat, regular cost</t>
  </si>
  <si>
    <t>Poultry - low discretionary solid fat, low cost</t>
  </si>
  <si>
    <t>Poultry - low discretionary solid fat, regular cost</t>
  </si>
  <si>
    <t>Lunch meats, sausages, and bacon - regular fat</t>
  </si>
  <si>
    <t>TFP budget</t>
  </si>
  <si>
    <t>Percent of spending</t>
  </si>
  <si>
    <t xml:space="preserve">     Saturated fat</t>
  </si>
  <si>
    <t>Daily</t>
  </si>
  <si>
    <t>grams</t>
  </si>
  <si>
    <t>Average</t>
  </si>
  <si>
    <t>daily</t>
  </si>
  <si>
    <t>intake</t>
  </si>
  <si>
    <t>Male, 14-18 yrs</t>
  </si>
  <si>
    <t>Male, 19 yrs</t>
  </si>
  <si>
    <t>Male, 20-50 yrs</t>
  </si>
  <si>
    <t>Male, 51-70 yrs</t>
  </si>
  <si>
    <t>Female, 12-13 yrs</t>
  </si>
  <si>
    <t>Female, 19 yrs</t>
  </si>
  <si>
    <t>lunchmeatr</t>
  </si>
  <si>
    <t>lunchmeatl</t>
  </si>
  <si>
    <t>eggneggmix</t>
  </si>
  <si>
    <t>mpfmixtreg</t>
  </si>
  <si>
    <t>Monthly expenditures</t>
  </si>
  <si>
    <t>Target daily expenditures</t>
  </si>
  <si>
    <t>Default values for front sheet</t>
  </si>
  <si>
    <t>% of objective function</t>
  </si>
  <si>
    <t>Magnesium</t>
  </si>
  <si>
    <t>Niacin</t>
  </si>
  <si>
    <t>Phosphorus</t>
  </si>
  <si>
    <t>Potassium</t>
  </si>
  <si>
    <t>Riboflavin</t>
  </si>
  <si>
    <t>Sodium</t>
  </si>
  <si>
    <t>Thiamin</t>
  </si>
  <si>
    <t>Vitamin B12</t>
  </si>
  <si>
    <t>Vitamin B6</t>
  </si>
  <si>
    <t>breadwh</t>
  </si>
  <si>
    <t>breadnwh</t>
  </si>
  <si>
    <t>bfstcerelnwh</t>
  </si>
  <si>
    <t>bfstcerelwhlsof</t>
  </si>
  <si>
    <t>TFP Results</t>
  </si>
  <si>
    <t>Calculations for age-sex group:</t>
  </si>
  <si>
    <t>cakesnpieswh</t>
  </si>
  <si>
    <t>cakesnpiesnwh</t>
  </si>
  <si>
    <t>Energy</t>
  </si>
  <si>
    <t xml:space="preserve"> </t>
  </si>
  <si>
    <t xml:space="preserve">     Linoleic acid</t>
  </si>
  <si>
    <t xml:space="preserve">     Linolenic acid</t>
  </si>
  <si>
    <t>ricenpastawh</t>
  </si>
  <si>
    <t>ricenpastanwh</t>
  </si>
  <si>
    <t>coffeentea</t>
  </si>
  <si>
    <t>softdrnkr</t>
  </si>
  <si>
    <t>softdrnklo</t>
  </si>
  <si>
    <t>sugarnswee</t>
  </si>
  <si>
    <t>Cal protein</t>
  </si>
  <si>
    <t>Cal fat</t>
  </si>
  <si>
    <t>Cal Sat Fat</t>
  </si>
  <si>
    <t>Cal Carbs</t>
  </si>
  <si>
    <t>% of optimal</t>
  </si>
  <si>
    <t>lower bound</t>
  </si>
  <si>
    <t>STEP 2</t>
  </si>
  <si>
    <t>whole milk, yogurt and cream</t>
  </si>
  <si>
    <t>Calculation of objective function</t>
  </si>
  <si>
    <t>calories from fat</t>
  </si>
  <si>
    <t>Fiber</t>
  </si>
  <si>
    <t>Folate</t>
  </si>
  <si>
    <t>Iron</t>
  </si>
  <si>
    <t>total fat</t>
  </si>
  <si>
    <t>Good Sources of Fiber</t>
  </si>
  <si>
    <t>Fiber (g) per $</t>
  </si>
  <si>
    <t>Fiber (g) per Calorie</t>
  </si>
  <si>
    <t>Non-whole grain rice and pasta</t>
  </si>
  <si>
    <t>Low fat milk</t>
  </si>
  <si>
    <t>Vitamin C</t>
  </si>
  <si>
    <t>Vitamin E</t>
  </si>
  <si>
    <t>Vitamin A</t>
  </si>
  <si>
    <t>Zinc</t>
  </si>
  <si>
    <t>Calories from linoleic acid</t>
  </si>
  <si>
    <t>Whole grain rice and pasta</t>
  </si>
  <si>
    <t>ln objective function</t>
  </si>
  <si>
    <r>
      <t xml:space="preserve">Regular cost </t>
    </r>
    <r>
      <rPr>
        <b/>
        <sz val="10"/>
        <rFont val="Arial"/>
        <family val="2"/>
      </rPr>
      <t>red meat</t>
    </r>
  </si>
  <si>
    <t>undefined?</t>
  </si>
  <si>
    <t>Sugars</t>
  </si>
  <si>
    <r>
      <t xml:space="preserve">Low fat </t>
    </r>
    <r>
      <rPr>
        <b/>
        <sz val="10"/>
        <rFont val="Arial"/>
        <family val="2"/>
      </rPr>
      <t>milk</t>
    </r>
  </si>
  <si>
    <t>Calories from linolenic acid</t>
  </si>
  <si>
    <t>Non-whole grain breads</t>
  </si>
  <si>
    <t>Tomatoes, no fat</t>
  </si>
  <si>
    <t>Non-whole grain cakes and pies</t>
  </si>
  <si>
    <t>Low fat potatoes</t>
  </si>
  <si>
    <t>Mixed vegetables, no fat</t>
  </si>
  <si>
    <t>Calories (cal/day)</t>
  </si>
  <si>
    <t>quantity (100g/day)</t>
  </si>
  <si>
    <t>quantity (lb/mo)</t>
  </si>
  <si>
    <t>quantity(100g/mo)</t>
  </si>
  <si>
    <t>In range</t>
  </si>
  <si>
    <t>Breakfast cereal - whole grain, regular calories</t>
  </si>
  <si>
    <t>Rice and pasta - whole grain</t>
  </si>
  <si>
    <t>male19</t>
  </si>
  <si>
    <t>male51_70</t>
  </si>
  <si>
    <t>male71</t>
  </si>
  <si>
    <t>female12_13</t>
  </si>
  <si>
    <t>female14_18</t>
  </si>
  <si>
    <t>Grain-based snacks - whole grain</t>
  </si>
  <si>
    <t>Grain-based snacks - non-whole grain</t>
  </si>
  <si>
    <r>
      <t xml:space="preserve">Non-whole grain </t>
    </r>
    <r>
      <rPr>
        <b/>
        <sz val="10"/>
        <rFont val="Arial"/>
        <family val="2"/>
      </rPr>
      <t>snacks</t>
    </r>
  </si>
  <si>
    <r>
      <t xml:space="preserve">Low fat </t>
    </r>
    <r>
      <rPr>
        <b/>
        <sz val="10"/>
        <rFont val="Arial"/>
        <family val="2"/>
      </rPr>
      <t>grain mixtures</t>
    </r>
  </si>
  <si>
    <r>
      <t xml:space="preserve">Citrus, melon and berry </t>
    </r>
    <r>
      <rPr>
        <b/>
        <sz val="10"/>
        <rFont val="Arial"/>
        <family val="2"/>
      </rPr>
      <t>juice</t>
    </r>
  </si>
  <si>
    <r>
      <t xml:space="preserve">Other fruit </t>
    </r>
    <r>
      <rPr>
        <b/>
        <sz val="10"/>
        <rFont val="Arial"/>
        <family val="2"/>
      </rPr>
      <t>juice</t>
    </r>
  </si>
  <si>
    <r>
      <t xml:space="preserve">Low fat </t>
    </r>
    <r>
      <rPr>
        <b/>
        <sz val="10"/>
        <rFont val="Arial"/>
        <family val="2"/>
      </rPr>
      <t>potatoes</t>
    </r>
  </si>
  <si>
    <t>using expenditures for non-logged function</t>
  </si>
  <si>
    <t>Using TFP log function</t>
  </si>
  <si>
    <t>Using non-logged function with qty</t>
  </si>
  <si>
    <t>Food Groups</t>
  </si>
  <si>
    <t>non-logged function (expenditure)</t>
  </si>
  <si>
    <t>Sodium UL</t>
  </si>
  <si>
    <t>CNPP to Cost-Only</t>
  </si>
  <si>
    <t>Current Cost per 1000 Calories</t>
  </si>
  <si>
    <t>Target Cost per 1000 Calories</t>
  </si>
  <si>
    <t>TFP, Daily</t>
  </si>
  <si>
    <t>TFP Model</t>
  </si>
  <si>
    <t>Cost-Only Solution</t>
  </si>
  <si>
    <t>Children, 9-11 years</t>
  </si>
  <si>
    <t>Males, 20-50 years</t>
  </si>
  <si>
    <t>Females, 20-50 years</t>
  </si>
  <si>
    <t>Cost-Only exp/month</t>
  </si>
  <si>
    <t>Nutrient</t>
  </si>
  <si>
    <t>tomator</t>
  </si>
  <si>
    <t>mixedvegf</t>
  </si>
  <si>
    <t>mixedvegr</t>
  </si>
  <si>
    <t>fatsndress</t>
  </si>
  <si>
    <t>Citrus fruit, melon, and berry juices</t>
  </si>
  <si>
    <t>Citrus fruits, melons, and berries</t>
  </si>
  <si>
    <t>Grain mixtures - regular fat</t>
  </si>
  <si>
    <t>??????Market Basket food group</t>
  </si>
  <si>
    <t>Food Group code</t>
  </si>
  <si>
    <t>NOTE: deleted this food group</t>
  </si>
  <si>
    <t>Tomatoes - no added fat</t>
  </si>
  <si>
    <t>test default of current consumption</t>
  </si>
  <si>
    <r>
      <t xml:space="preserve">The RESULTS column at right evaluates your plan in terms of:
  a) </t>
    </r>
    <r>
      <rPr>
        <b/>
        <sz val="10"/>
        <color indexed="17"/>
        <rFont val="Arial"/>
        <family val="2"/>
      </rPr>
      <t>Spending.</t>
    </r>
    <r>
      <rPr>
        <sz val="10"/>
        <color indexed="17"/>
        <rFont val="Arial"/>
        <family val="2"/>
      </rPr>
      <t xml:space="preserve">  Compare your monthly spending to the official TFP cost target.
  b) </t>
    </r>
    <r>
      <rPr>
        <b/>
        <sz val="10"/>
        <color indexed="17"/>
        <rFont val="Arial"/>
        <family val="2"/>
      </rPr>
      <t>Broad food categories.</t>
    </r>
    <r>
      <rPr>
        <sz val="10"/>
        <color indexed="17"/>
        <rFont val="Arial"/>
        <family val="2"/>
      </rPr>
      <t xml:space="preserve">  Daily servings of dairy, meats, grains, fruits, and vegetables.  See </t>
    </r>
    <r>
      <rPr>
        <b/>
        <sz val="10"/>
        <color indexed="17"/>
        <rFont val="Arial"/>
        <family val="2"/>
      </rPr>
      <t>MyPyramid</t>
    </r>
    <r>
      <rPr>
        <sz val="10"/>
        <color indexed="17"/>
        <rFont val="Arial"/>
        <family val="2"/>
      </rPr>
      <t xml:space="preserve"> worksheet for more information.                                             
  c) </t>
    </r>
    <r>
      <rPr>
        <b/>
        <sz val="10"/>
        <color indexed="17"/>
        <rFont val="Arial"/>
        <family val="2"/>
      </rPr>
      <t xml:space="preserve">Distance from current consumption. </t>
    </r>
    <r>
      <rPr>
        <sz val="10"/>
        <color indexed="17"/>
        <rFont val="Arial"/>
        <family val="2"/>
      </rPr>
      <t xml:space="preserve"> A bigger number means greater deviations from the foods that low-income Americans currently choose.
  d) </t>
    </r>
    <r>
      <rPr>
        <b/>
        <sz val="10"/>
        <color indexed="17"/>
        <rFont val="Arial"/>
        <family val="2"/>
      </rPr>
      <t>Energy.</t>
    </r>
    <r>
      <rPr>
        <sz val="10"/>
        <color indexed="17"/>
        <rFont val="Arial"/>
        <family val="2"/>
      </rPr>
      <t xml:space="preserve">  Compare your daily calories to the recommendation for maintaining healthy weight.
  e) </t>
    </r>
    <r>
      <rPr>
        <b/>
        <sz val="10"/>
        <color indexed="17"/>
        <rFont val="Arial"/>
        <family val="2"/>
      </rPr>
      <t>Macronutrients.</t>
    </r>
    <r>
      <rPr>
        <sz val="10"/>
        <color indexed="17"/>
        <rFont val="Arial"/>
        <family val="2"/>
      </rPr>
      <t xml:space="preserve">  Daily grams of carbohydrates, fats, and protein.
  f)  </t>
    </r>
    <r>
      <rPr>
        <b/>
        <sz val="10"/>
        <color indexed="17"/>
        <rFont val="Arial"/>
        <family val="2"/>
      </rPr>
      <t>Micronutrients.</t>
    </r>
    <r>
      <rPr>
        <sz val="10"/>
        <color indexed="17"/>
        <rFont val="Arial"/>
        <family val="2"/>
      </rPr>
      <t xml:space="preserve">  Compare your calcium or sodium to the recommendations.
</t>
    </r>
  </si>
  <si>
    <t>lofatmlkny</t>
  </si>
  <si>
    <t>Calories from saturated fat (kcal)</t>
  </si>
  <si>
    <t>Dictionary</t>
  </si>
  <si>
    <t>linoleic acid</t>
  </si>
  <si>
    <t>lcredmtlea</t>
  </si>
  <si>
    <t>rcredmtlea</t>
  </si>
  <si>
    <t>lcfshhf</t>
  </si>
  <si>
    <t>rcfshhf</t>
  </si>
  <si>
    <t>lcfshln</t>
  </si>
  <si>
    <t>rcfshln</t>
  </si>
  <si>
    <t>saturated fat</t>
  </si>
  <si>
    <t xml:space="preserve">  Potassium</t>
  </si>
  <si>
    <t xml:space="preserve">  Vitamin B6</t>
  </si>
  <si>
    <t xml:space="preserve">  Vitamin B12</t>
  </si>
  <si>
    <t>Child, 1 yr</t>
  </si>
  <si>
    <t>Child, 4-5 yrs</t>
  </si>
  <si>
    <t>Child, 6-8 yrs</t>
  </si>
  <si>
    <t>Child, 9-11</t>
  </si>
  <si>
    <t>Child, 2-3 yrs</t>
  </si>
  <si>
    <t>Male, 12-13 yrs</t>
  </si>
  <si>
    <t>result based on objective function</t>
  </si>
  <si>
    <t>•</t>
  </si>
  <si>
    <t>Child, 9-11 yrs</t>
  </si>
  <si>
    <r>
      <t xml:space="preserve">Whole grain </t>
    </r>
    <r>
      <rPr>
        <b/>
        <sz val="10"/>
        <rFont val="Arial"/>
        <family val="2"/>
      </rPr>
      <t>breads</t>
    </r>
  </si>
  <si>
    <r>
      <t xml:space="preserve">Non-whole grain </t>
    </r>
    <r>
      <rPr>
        <b/>
        <sz val="10"/>
        <rFont val="Arial"/>
        <family val="2"/>
      </rPr>
      <t>breads</t>
    </r>
  </si>
  <si>
    <t>children age 2-3</t>
  </si>
  <si>
    <t>children age 4-5</t>
  </si>
  <si>
    <t>children age 6-8</t>
  </si>
  <si>
    <t>children age 9-11</t>
  </si>
  <si>
    <t>males age 12-13</t>
  </si>
  <si>
    <t>males age 51-70</t>
  </si>
  <si>
    <t>males age 71 and over</t>
  </si>
  <si>
    <t>females age 12-13</t>
  </si>
  <si>
    <t>females age 14-18</t>
  </si>
  <si>
    <t>females age 19</t>
  </si>
  <si>
    <t>females age 20-50</t>
  </si>
  <si>
    <t>females age 51-70</t>
  </si>
  <si>
    <t>females age 71 and over</t>
  </si>
  <si>
    <t>Female, 20-50 yrs</t>
  </si>
  <si>
    <t>Mixed vegetables</t>
  </si>
  <si>
    <t>Other vegetables, no fat</t>
  </si>
  <si>
    <t>bfstcerealwhrsof</t>
  </si>
  <si>
    <r>
      <t xml:space="preserve">Low cost </t>
    </r>
    <r>
      <rPr>
        <b/>
        <sz val="10"/>
        <rFont val="Arial"/>
        <family val="2"/>
      </rPr>
      <t>red meat</t>
    </r>
  </si>
  <si>
    <t>Servings of grains</t>
  </si>
  <si>
    <t>Servings of vegetables</t>
  </si>
  <si>
    <t>Servings of fruit</t>
  </si>
  <si>
    <t>Whole grain cakes and pies</t>
  </si>
  <si>
    <t>Low fat meat mixtures</t>
  </si>
  <si>
    <t>upper bound</t>
  </si>
  <si>
    <t>expenditures ($/mo)</t>
  </si>
  <si>
    <t>Calories from protein</t>
  </si>
  <si>
    <t>Calories from carbohydrates</t>
  </si>
  <si>
    <t>Calories from fat</t>
  </si>
  <si>
    <t>Calories from saturated fat</t>
  </si>
  <si>
    <t>Calcium</t>
  </si>
  <si>
    <t>Cholesterol</t>
  </si>
  <si>
    <t>Copper</t>
  </si>
  <si>
    <t>$/month</t>
  </si>
  <si>
    <t>100g/month</t>
  </si>
  <si>
    <t>lb/month</t>
  </si>
  <si>
    <t>male20_50</t>
  </si>
  <si>
    <t>quantity (lb/week)</t>
  </si>
  <si>
    <r>
      <t xml:space="preserve">Low cost lean </t>
    </r>
    <r>
      <rPr>
        <b/>
        <sz val="10"/>
        <rFont val="Arial"/>
        <family val="2"/>
      </rPr>
      <t>poultry</t>
    </r>
  </si>
  <si>
    <r>
      <t xml:space="preserve">Regular cost lean </t>
    </r>
    <r>
      <rPr>
        <b/>
        <sz val="10"/>
        <rFont val="Arial"/>
        <family val="2"/>
      </rPr>
      <t>poultry</t>
    </r>
  </si>
  <si>
    <r>
      <t xml:space="preserve">Low fat </t>
    </r>
    <r>
      <rPr>
        <b/>
        <sz val="10"/>
        <rFont val="Arial"/>
        <family val="2"/>
      </rPr>
      <t>lunch meat</t>
    </r>
  </si>
  <si>
    <t>Orange vegetables</t>
  </si>
  <si>
    <t>Good Sources of Vitamin C</t>
  </si>
  <si>
    <r>
      <t xml:space="preserve">Low cost lean </t>
    </r>
    <r>
      <rPr>
        <b/>
        <sz val="10"/>
        <rFont val="Arial"/>
        <family val="2"/>
      </rPr>
      <t>fish</t>
    </r>
  </si>
  <si>
    <r>
      <t xml:space="preserve">Regular cost lean </t>
    </r>
    <r>
      <rPr>
        <b/>
        <sz val="10"/>
        <rFont val="Arial"/>
        <family val="2"/>
      </rPr>
      <t>fish</t>
    </r>
  </si>
  <si>
    <r>
      <t xml:space="preserve">Low cost </t>
    </r>
    <r>
      <rPr>
        <b/>
        <sz val="10"/>
        <rFont val="Arial"/>
        <family val="2"/>
      </rPr>
      <t>poultry</t>
    </r>
  </si>
  <si>
    <r>
      <t xml:space="preserve">Regular cost </t>
    </r>
    <r>
      <rPr>
        <b/>
        <sz val="10"/>
        <rFont val="Arial"/>
        <family val="2"/>
      </rPr>
      <t>poultry</t>
    </r>
  </si>
  <si>
    <t>Low cost lean fish</t>
  </si>
  <si>
    <t>Low fat grain mixtures</t>
  </si>
  <si>
    <t>Low cost poultry</t>
  </si>
  <si>
    <t>Non-whole grain cereals</t>
  </si>
  <si>
    <t>Regular cost poultry</t>
  </si>
  <si>
    <t>Ca</t>
  </si>
  <si>
    <t xml:space="preserve">  Calcium</t>
  </si>
  <si>
    <t xml:space="preserve">  Sodium</t>
  </si>
  <si>
    <t xml:space="preserve">  Fiber</t>
  </si>
  <si>
    <t xml:space="preserve">  Folate</t>
  </si>
  <si>
    <t xml:space="preserve">  Vitamin A</t>
  </si>
  <si>
    <t xml:space="preserve">  Vitamin C</t>
  </si>
  <si>
    <t xml:space="preserve">  Iron</t>
  </si>
  <si>
    <t>lower fat and skim milk and lowfat yogurt</t>
  </si>
  <si>
    <t>All cheese</t>
  </si>
  <si>
    <t>Red meats - low discretionary solid fat, regular cost</t>
  </si>
  <si>
    <t>Fish - regular discretionary solid fat, low cost</t>
  </si>
  <si>
    <t>Fish - regular discretionary solid fat, regular cost</t>
  </si>
  <si>
    <t xml:space="preserve">  Fat</t>
  </si>
  <si>
    <t xml:space="preserve">  Carbohydrates</t>
  </si>
  <si>
    <t xml:space="preserve">  Protein</t>
  </si>
  <si>
    <t>soft drinks, sodas, fruit drinks and ades</t>
  </si>
  <si>
    <t>child1</t>
  </si>
  <si>
    <t>child2_3</t>
  </si>
  <si>
    <t>child4_5</t>
  </si>
  <si>
    <t>child6_8</t>
  </si>
  <si>
    <t>child9_11</t>
  </si>
  <si>
    <t>male12_13</t>
  </si>
  <si>
    <t>male14_18</t>
  </si>
  <si>
    <t>expenditure share</t>
  </si>
  <si>
    <t>current expenditure</t>
  </si>
  <si>
    <t>female19</t>
  </si>
  <si>
    <t>female20_50</t>
  </si>
  <si>
    <t>female51_70</t>
  </si>
  <si>
    <t>female71</t>
  </si>
  <si>
    <t>legumeat</t>
  </si>
  <si>
    <t>Recommended range</t>
  </si>
  <si>
    <t>AMDR low</t>
  </si>
  <si>
    <t>AMDR high</t>
  </si>
  <si>
    <t xml:space="preserve">% to </t>
  </si>
  <si>
    <t>%</t>
  </si>
  <si>
    <t>--</t>
  </si>
  <si>
    <t>entered expenditures</t>
  </si>
  <si>
    <t>share*((exp-current exp)^2)</t>
  </si>
  <si>
    <t xml:space="preserve">comparison to TFP results </t>
  </si>
  <si>
    <t>Calories</t>
  </si>
  <si>
    <t>Total</t>
  </si>
  <si>
    <t>Macronutrients (%of calories)</t>
  </si>
  <si>
    <t>enough</t>
  </si>
  <si>
    <t>limit</t>
  </si>
  <si>
    <t>flag too high</t>
  </si>
  <si>
    <t>flag too much</t>
  </si>
  <si>
    <t xml:space="preserve">  Cholesterol</t>
  </si>
  <si>
    <t>Recommended amount</t>
  </si>
  <si>
    <t>Recommended limit</t>
  </si>
  <si>
    <t>current qty</t>
  </si>
  <si>
    <t>Servings of dairy</t>
  </si>
  <si>
    <t>Servings of meat/protein</t>
  </si>
  <si>
    <t>Cost-Only</t>
  </si>
  <si>
    <t>CNPP to Current</t>
  </si>
  <si>
    <t>1 year</t>
  </si>
  <si>
    <t>2-3 years</t>
  </si>
  <si>
    <t>4-5 years</t>
  </si>
  <si>
    <t>6-8 years</t>
  </si>
  <si>
    <t>9-11 years</t>
  </si>
  <si>
    <t>12-13 years</t>
  </si>
  <si>
    <t>19 years</t>
  </si>
  <si>
    <t>20-50 years</t>
  </si>
  <si>
    <t>51-70 years</t>
  </si>
  <si>
    <t>71+ years</t>
  </si>
  <si>
    <t>Lunch meats, sausages, and bacon - lowfat</t>
  </si>
  <si>
    <t>compared to TFP:</t>
  </si>
  <si>
    <t>consumption of each food groups, by age-sex group in 100g/day</t>
  </si>
  <si>
    <t>USDA TFP model results in expenditures per month</t>
  </si>
  <si>
    <t>Daily expenditures</t>
  </si>
  <si>
    <t>Iron (mg) per Calorie</t>
  </si>
  <si>
    <t>$/100g</t>
  </si>
  <si>
    <t>Calories per $</t>
  </si>
  <si>
    <t>linolenic acid</t>
  </si>
  <si>
    <t>protein</t>
  </si>
  <si>
    <t>carbohydrates</t>
  </si>
  <si>
    <t>Dark green vegetables, no fat</t>
  </si>
  <si>
    <t>% of total calories</t>
  </si>
  <si>
    <t>% of total spending</t>
  </si>
  <si>
    <t>RESULTS</t>
  </si>
  <si>
    <t>Your total</t>
  </si>
  <si>
    <t>Servings of dark green vegetables</t>
  </si>
  <si>
    <t>Servings of orange vegetables</t>
  </si>
  <si>
    <t>Nutrient name</t>
  </si>
  <si>
    <t>Nutrient code</t>
  </si>
  <si>
    <t>Servings of whole fruit</t>
  </si>
  <si>
    <t>Calories from protein (kcal)</t>
  </si>
  <si>
    <t>Calories from carbohydrates (kcal)</t>
  </si>
  <si>
    <t>Calories from fat (kcal)</t>
  </si>
  <si>
    <t>Iron (mg) per $</t>
  </si>
  <si>
    <t>ENTER THE SPENDING LEVELS FOR YOUR NEW FOOD PLAN</t>
  </si>
  <si>
    <t>Vit A (micrograms) per Calorie</t>
  </si>
  <si>
    <t>results based on expenditure non-logged function</t>
  </si>
  <si>
    <t>non-logged function (qty)</t>
  </si>
  <si>
    <t>Low cost lean poultry</t>
  </si>
  <si>
    <t>Regular cost lean poultry</t>
  </si>
  <si>
    <t>Low fat lunch meat</t>
  </si>
  <si>
    <t>Legumes combined</t>
  </si>
  <si>
    <t>Children, 6-8 years</t>
  </si>
  <si>
    <t>Vit C (mg) per $</t>
  </si>
  <si>
    <t>Vit C (mg) per Calorie</t>
  </si>
  <si>
    <t>Good Sources of Vitamin B6</t>
  </si>
  <si>
    <t>Vit B6 (mg) per $</t>
  </si>
  <si>
    <r>
      <t xml:space="preserve">Low cost </t>
    </r>
    <r>
      <rPr>
        <b/>
        <sz val="10"/>
        <rFont val="Arial"/>
        <family val="2"/>
      </rPr>
      <t>fish</t>
    </r>
  </si>
  <si>
    <t>Non-whole grain snacks</t>
  </si>
  <si>
    <t>Regular cost fish</t>
  </si>
  <si>
    <t>Regular cost lean fish</t>
  </si>
  <si>
    <r>
      <t xml:space="preserve">Whole grain </t>
    </r>
    <r>
      <rPr>
        <b/>
        <sz val="10"/>
        <rFont val="Arial"/>
        <family val="2"/>
      </rPr>
      <t>rice and pasta</t>
    </r>
  </si>
  <si>
    <r>
      <t xml:space="preserve">Non-whole grain </t>
    </r>
    <r>
      <rPr>
        <b/>
        <sz val="10"/>
        <rFont val="Arial"/>
        <family val="2"/>
      </rPr>
      <t>rice and pasta</t>
    </r>
  </si>
  <si>
    <r>
      <t xml:space="preserve">Whole grain </t>
    </r>
    <r>
      <rPr>
        <b/>
        <sz val="10"/>
        <rFont val="Arial"/>
        <family val="2"/>
      </rPr>
      <t>cakes and pies</t>
    </r>
  </si>
  <si>
    <t>Upper Nutrition Limits, by age-sex group</t>
  </si>
  <si>
    <t>Lower Nutrition Limits, by age-sex group</t>
  </si>
  <si>
    <r>
      <t xml:space="preserve">Regular cost </t>
    </r>
    <r>
      <rPr>
        <b/>
        <sz val="10"/>
        <rFont val="Arial"/>
        <family val="2"/>
      </rPr>
      <t>fish</t>
    </r>
  </si>
  <si>
    <t>Percent of recommended calories</t>
  </si>
  <si>
    <t>Recommended calories</t>
  </si>
  <si>
    <t>Are you getting too much?</t>
  </si>
  <si>
    <t>current exp/month</t>
  </si>
  <si>
    <t>current expenditures/day</t>
  </si>
  <si>
    <t>Milk</t>
  </si>
  <si>
    <t>Lunch meat</t>
  </si>
  <si>
    <t>Eggs</t>
  </si>
  <si>
    <t>Meat mixtures</t>
  </si>
  <si>
    <t>Legumes</t>
  </si>
  <si>
    <t>Grain mixtures</t>
  </si>
  <si>
    <t>Citrus, melon and berries</t>
  </si>
  <si>
    <t>Other fruits</t>
  </si>
  <si>
    <t>Coffee and tea</t>
  </si>
  <si>
    <t>Fruit drinks, soft drinks, and ades - regular calore</t>
  </si>
  <si>
    <t>Daily Cost</t>
  </si>
  <si>
    <t>Calories (Daily)</t>
  </si>
  <si>
    <t>Fruit drinks, soft drinks, and ades - low calorie</t>
  </si>
  <si>
    <t>Sugars and sweets</t>
  </si>
  <si>
    <t>Food Group</t>
  </si>
  <si>
    <t>cholest</t>
  </si>
  <si>
    <t>copper</t>
  </si>
  <si>
    <t>fiber</t>
  </si>
  <si>
    <t>folate_dfe</t>
  </si>
  <si>
    <t>iron</t>
  </si>
  <si>
    <t>magnes</t>
  </si>
  <si>
    <t>niacin</t>
  </si>
  <si>
    <t>phosphor</t>
  </si>
  <si>
    <t>Orange vegetables - added fat</t>
  </si>
  <si>
    <t>Fish - low discretionary solid fat, regular cost</t>
  </si>
  <si>
    <t>Whole grain breads</t>
  </si>
  <si>
    <t>Orange vegetables, no fat</t>
  </si>
  <si>
    <t>Whole grain snacks</t>
  </si>
  <si>
    <t>Citrus, melon and berry juice</t>
  </si>
  <si>
    <t>Other fruit juice</t>
  </si>
  <si>
    <t>Good Sources of Folate</t>
  </si>
  <si>
    <t>Folate (micrograms) per $</t>
  </si>
  <si>
    <t>Folate (micrograms) per Calorie</t>
  </si>
  <si>
    <t>Good Sources of Vitamin A</t>
  </si>
  <si>
    <t>Vit A (micrograms) per $</t>
  </si>
  <si>
    <t>bacon, sausage, and lunch meats</t>
  </si>
  <si>
    <t>whole grain breads, rice, pasta, and pastries</t>
  </si>
  <si>
    <t>non-whole grain breads, cereals, rice, pasta, pies, pastries, snacks and flours</t>
  </si>
  <si>
    <t>Whole grain cereals</t>
  </si>
  <si>
    <r>
      <t xml:space="preserve">Low cost lean </t>
    </r>
    <r>
      <rPr>
        <b/>
        <sz val="10"/>
        <rFont val="Arial"/>
        <family val="2"/>
      </rPr>
      <t>red meat</t>
    </r>
  </si>
  <si>
    <r>
      <t xml:space="preserve">Regular cost lean </t>
    </r>
    <r>
      <rPr>
        <b/>
        <sz val="10"/>
        <rFont val="Arial"/>
        <family val="2"/>
      </rPr>
      <t>red meat</t>
    </r>
  </si>
  <si>
    <t>Fish - low discretionary solid fat, low cost</t>
  </si>
  <si>
    <r>
      <t xml:space="preserve">Non-whole grain </t>
    </r>
    <r>
      <rPr>
        <b/>
        <sz val="10"/>
        <rFont val="Arial"/>
        <family val="2"/>
      </rPr>
      <t>cereals</t>
    </r>
  </si>
  <si>
    <t>males age 14-18</t>
  </si>
  <si>
    <t>males age 19</t>
  </si>
  <si>
    <t>males age 20-50</t>
  </si>
  <si>
    <t>Daily calories</t>
  </si>
  <si>
    <t>Servings of legumes (vegetables)</t>
  </si>
  <si>
    <t>Age/Sex group description</t>
  </si>
  <si>
    <t>Food Group description</t>
  </si>
  <si>
    <t>Food Group name</t>
  </si>
  <si>
    <t>Nutrient description</t>
  </si>
  <si>
    <t>Cost</t>
  </si>
  <si>
    <r>
      <t xml:space="preserve">Non-whole grain </t>
    </r>
    <r>
      <rPr>
        <b/>
        <sz val="10"/>
        <rFont val="Arial"/>
        <family val="2"/>
      </rPr>
      <t>cakes and pies</t>
    </r>
  </si>
  <si>
    <r>
      <t xml:space="preserve">Whole grain </t>
    </r>
    <r>
      <rPr>
        <b/>
        <sz val="10"/>
        <rFont val="Arial"/>
        <family val="2"/>
      </rPr>
      <t>snacks</t>
    </r>
  </si>
  <si>
    <t>Good Sources of Calories</t>
  </si>
  <si>
    <t>Good Sources of Calcium</t>
  </si>
  <si>
    <t>Calcium (mg) per $</t>
  </si>
  <si>
    <t>Log distance from current consumption</t>
  </si>
  <si>
    <t>Distance from current consumption</t>
  </si>
  <si>
    <t>Low cost red meat</t>
  </si>
  <si>
    <t>Regular cost red meat</t>
  </si>
  <si>
    <t>Low cost lean red meat</t>
  </si>
  <si>
    <t>Regular cost lean red meat</t>
  </si>
  <si>
    <t>Low calorie soft drinks</t>
  </si>
  <si>
    <t>Low cost fish</t>
  </si>
  <si>
    <t>Vit B6 (mg) per Calorie</t>
  </si>
  <si>
    <t>Good Sources of Vitamin B12</t>
  </si>
  <si>
    <t>Vit B12 (micrograms) per $</t>
  </si>
  <si>
    <t>Vit B12 (micrograms) per Calorie</t>
  </si>
  <si>
    <r>
      <t xml:space="preserve">To get started, you may begin with the default monthly spending values, which come from USDA’s official TFP.  Alternatively, you may copy and paste from the worksheet named </t>
    </r>
    <r>
      <rPr>
        <b/>
        <sz val="10"/>
        <color indexed="17"/>
        <rFont val="Arial"/>
        <family val="2"/>
      </rPr>
      <t>Starting Values</t>
    </r>
    <r>
      <rPr>
        <sz val="10"/>
        <color indexed="17"/>
        <rFont val="Arial"/>
        <family val="2"/>
      </rPr>
      <t xml:space="preserve">.  For more information about the 58 food groups and the nutrients they contain, see the worksheet named </t>
    </r>
    <r>
      <rPr>
        <b/>
        <sz val="10"/>
        <color indexed="17"/>
        <rFont val="Arial"/>
        <family val="2"/>
      </rPr>
      <t>Sources of Nutrients</t>
    </r>
    <r>
      <rPr>
        <sz val="10"/>
        <color indexed="17"/>
        <rFont val="Arial"/>
        <family val="2"/>
      </rPr>
      <t xml:space="preserve">.  If you want to save your work be sure to save the file under a different name.  To reset the original starting values, close this file and reopen the original unchanged Excel workbook.  For more detail, see the worksheet named </t>
    </r>
    <r>
      <rPr>
        <b/>
        <sz val="10"/>
        <color indexed="17"/>
        <rFont val="Arial"/>
        <family val="2"/>
      </rPr>
      <t>User Guide</t>
    </r>
    <r>
      <rPr>
        <sz val="10"/>
        <color indexed="17"/>
        <rFont val="Arial"/>
        <family val="2"/>
      </rPr>
      <t>.</t>
    </r>
  </si>
  <si>
    <t>Thrifty Food Plan Calculator (With July 2014 Cost Level)</t>
  </si>
  <si>
    <t>Parke Wilde, Joseph Llobrera, and Flannery Campbell (2009), Friedman School of Nutrition Science and Policy, Tufts University. Revised by Parke Wilde (2014).</t>
  </si>
  <si>
    <r>
      <t xml:space="preserve">This calculator is based on the same official data that USDA used to create the 2006 Thrifty Food Plan (TFP), with prices inflated upwards to correspond to July 2014 TFP cost levels.  </t>
    </r>
    <r>
      <rPr>
        <b/>
        <sz val="10"/>
        <color indexed="17"/>
        <rFont val="Arial"/>
        <family val="2"/>
      </rPr>
      <t>Your goal</t>
    </r>
    <r>
      <rPr>
        <sz val="10"/>
        <color indexed="17"/>
        <rFont val="Arial"/>
        <family val="2"/>
      </rPr>
      <t xml:space="preserve"> is to design your own </t>
    </r>
    <r>
      <rPr>
        <b/>
        <sz val="10"/>
        <color indexed="17"/>
        <rFont val="Arial"/>
        <family val="2"/>
      </rPr>
      <t>new food plan</t>
    </r>
    <r>
      <rPr>
        <sz val="10"/>
        <color indexed="17"/>
        <rFont val="Arial"/>
        <family val="2"/>
      </rPr>
      <t xml:space="preserve"> containing spending levels for 58 food groups.  Create a </t>
    </r>
    <r>
      <rPr>
        <b/>
        <sz val="10"/>
        <color indexed="17"/>
        <rFont val="Arial"/>
        <family val="2"/>
      </rPr>
      <t>nutritious</t>
    </r>
    <r>
      <rPr>
        <sz val="10"/>
        <color indexed="17"/>
        <rFont val="Arial"/>
        <family val="2"/>
      </rPr>
      <t>,</t>
    </r>
    <r>
      <rPr>
        <b/>
        <sz val="10"/>
        <color indexed="17"/>
        <rFont val="Arial"/>
        <family val="2"/>
      </rPr>
      <t xml:space="preserve"> affordable</t>
    </r>
    <r>
      <rPr>
        <sz val="10"/>
        <color indexed="17"/>
        <rFont val="Arial"/>
        <family val="2"/>
      </rPr>
      <t>, and</t>
    </r>
    <r>
      <rPr>
        <b/>
        <sz val="10"/>
        <color indexed="17"/>
        <rFont val="Arial"/>
        <family val="2"/>
      </rPr>
      <t xml:space="preserve"> tasty</t>
    </r>
    <r>
      <rPr>
        <sz val="10"/>
        <color indexed="17"/>
        <rFont val="Arial"/>
        <family val="2"/>
      </rPr>
      <t xml:space="preserve"> food plan that meets your nutrition policy goals.</t>
    </r>
  </si>
  <si>
    <t>Weekly and Daily Cost Constraint (OLD)</t>
  </si>
  <si>
    <t>Weekly and Daily Cost Constraint, USDA (July 2014)</t>
  </si>
  <si>
    <t>Inflation Factor</t>
  </si>
  <si>
    <t>Male, 19-50 yrs</t>
  </si>
  <si>
    <t>Female, 19-50 yrs</t>
  </si>
  <si>
    <t>Note: July 2014 USDA Cost Report includes adult age range 19-50 years (with no separate report for age 19 alone).</t>
  </si>
  <si>
    <t>Food group prices, by age-sex group (OLD)</t>
  </si>
  <si>
    <t>Inflation Factor (2014 v. OLD):</t>
  </si>
  <si>
    <t>Starting Values for Step 2 (OLD)</t>
  </si>
  <si>
    <t>Starting Values for Step 2, with Prices Inflated Upwards to Correspond with USDA (July, 2014).</t>
  </si>
  <si>
    <t>Inflation Factor (2014 v. OLD)</t>
  </si>
  <si>
    <t>19-50 years</t>
  </si>
  <si>
    <t xml:space="preserve">  SOFASugars (Cal)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</si>
</sst>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0.0000"/>
    <numFmt numFmtId="165" formatCode="0.000000"/>
    <numFmt numFmtId="166" formatCode="0.00000"/>
    <numFmt numFmtId="167" formatCode="0.000"/>
    <numFmt numFmtId="168" formatCode="0.0"/>
    <numFmt numFmtId="169" formatCode="&quot;$&quot;#,##0.00"/>
    <numFmt numFmtId="170" formatCode="0.0%"/>
    <numFmt numFmtId="171" formatCode="0.0000%"/>
  </numFmts>
  <fonts count="43" x14ac:knownFonts="1">
    <font>
      <sz val="10"/>
      <name val="Arial"/>
    </font>
    <font>
      <sz val="10"/>
      <name val="Arial"/>
      <family val="2"/>
    </font>
    <font>
      <b/>
      <sz val="10"/>
      <name val="Arial"/>
      <family val="2"/>
    </font>
    <font>
      <sz val="8"/>
      <name val="Arial"/>
      <family val="2"/>
    </font>
    <font>
      <sz val="10"/>
      <color indexed="10"/>
      <name val="Arial"/>
      <family val="2"/>
    </font>
    <font>
      <sz val="10"/>
      <name val="Arial"/>
      <family val="2"/>
    </font>
    <font>
      <sz val="10"/>
      <name val="Arial"/>
      <family val="2"/>
    </font>
    <font>
      <b/>
      <sz val="12"/>
      <name val="Arial"/>
      <family val="2"/>
    </font>
    <font>
      <b/>
      <sz val="10"/>
      <name val="Arial"/>
      <family val="2"/>
    </font>
    <font>
      <b/>
      <sz val="10"/>
      <name val="Verdana"/>
      <family val="2"/>
    </font>
    <font>
      <sz val="10"/>
      <name val="Verdana"/>
      <family val="2"/>
    </font>
    <font>
      <sz val="8"/>
      <name val="Verdana"/>
      <family val="2"/>
    </font>
    <font>
      <sz val="13"/>
      <color indexed="18"/>
      <name val="Courier New"/>
      <family val="3"/>
    </font>
    <font>
      <b/>
      <sz val="9"/>
      <color indexed="81"/>
      <name val="Verdana"/>
      <family val="2"/>
    </font>
    <font>
      <sz val="9"/>
      <color indexed="81"/>
      <name val="Verdana"/>
      <family val="2"/>
    </font>
    <font>
      <b/>
      <sz val="12"/>
      <name val="Arial"/>
      <family val="2"/>
    </font>
    <font>
      <b/>
      <sz val="10"/>
      <color indexed="10"/>
      <name val="Arial"/>
      <family val="2"/>
    </font>
    <font>
      <b/>
      <i/>
      <sz val="10"/>
      <color indexed="12"/>
      <name val="Arial"/>
      <family val="2"/>
    </font>
    <font>
      <b/>
      <i/>
      <sz val="12"/>
      <color indexed="10"/>
      <name val="Arial"/>
      <family val="2"/>
    </font>
    <font>
      <b/>
      <i/>
      <sz val="12"/>
      <color indexed="12"/>
      <name val="Arial"/>
      <family val="2"/>
    </font>
    <font>
      <sz val="10"/>
      <color indexed="18"/>
      <name val="Arial"/>
      <family val="2"/>
    </font>
    <font>
      <sz val="10"/>
      <color indexed="12"/>
      <name val="Arial"/>
      <family val="2"/>
    </font>
    <font>
      <i/>
      <sz val="10"/>
      <color indexed="12"/>
      <name val="Arial"/>
      <family val="2"/>
    </font>
    <font>
      <b/>
      <i/>
      <u/>
      <sz val="11"/>
      <color indexed="12"/>
      <name val="Arial"/>
      <family val="2"/>
    </font>
    <font>
      <b/>
      <u/>
      <sz val="10"/>
      <color indexed="10"/>
      <name val="Arial"/>
      <family val="2"/>
    </font>
    <font>
      <sz val="10"/>
      <color indexed="17"/>
      <name val="Arial"/>
      <family val="2"/>
    </font>
    <font>
      <b/>
      <sz val="14"/>
      <color indexed="17"/>
      <name val="Arial"/>
      <family val="2"/>
    </font>
    <font>
      <b/>
      <i/>
      <sz val="10"/>
      <color indexed="10"/>
      <name val="Arial"/>
      <family val="2"/>
    </font>
    <font>
      <b/>
      <sz val="10"/>
      <color indexed="17"/>
      <name val="Arial"/>
      <family val="2"/>
    </font>
    <font>
      <sz val="8"/>
      <color indexed="81"/>
      <name val="Tahoma"/>
      <family val="2"/>
    </font>
    <font>
      <b/>
      <sz val="8"/>
      <color indexed="81"/>
      <name val="Tahoma"/>
      <family val="2"/>
    </font>
    <font>
      <b/>
      <sz val="12"/>
      <color indexed="10"/>
      <name val="Arial"/>
      <family val="2"/>
    </font>
    <font>
      <b/>
      <sz val="12"/>
      <color indexed="11"/>
      <name val="Arial"/>
      <family val="2"/>
    </font>
    <font>
      <sz val="10"/>
      <color indexed="11"/>
      <name val="Arial"/>
      <family val="2"/>
    </font>
    <font>
      <sz val="10"/>
      <name val="Arial"/>
      <family val="2"/>
    </font>
    <font>
      <sz val="10"/>
      <color indexed="9"/>
      <name val="Arial"/>
      <family val="2"/>
    </font>
    <font>
      <u/>
      <sz val="10"/>
      <name val="Arial"/>
      <family val="2"/>
    </font>
    <font>
      <sz val="10"/>
      <name val="Arial"/>
      <family val="2"/>
    </font>
    <font>
      <sz val="12"/>
      <name val="Arial"/>
      <family val="2"/>
    </font>
    <font>
      <b/>
      <sz val="14"/>
      <name val="Arial"/>
      <family val="2"/>
    </font>
    <font>
      <b/>
      <sz val="12"/>
      <name val="Arial"/>
      <family val="2"/>
    </font>
    <font>
      <sz val="12"/>
      <name val="Arial"/>
      <family val="2"/>
    </font>
    <font>
      <sz val="10"/>
      <name val="Arial"/>
      <family val="2"/>
    </font>
  </fonts>
  <fills count="1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0"/>
        <bgColor indexed="64"/>
      </patternFill>
    </fill>
    <fill>
      <patternFill patternType="solid">
        <fgColor indexed="20"/>
        <bgColor indexed="64"/>
      </patternFill>
    </fill>
    <fill>
      <patternFill patternType="solid">
        <fgColor indexed="53"/>
        <bgColor indexed="64"/>
      </patternFill>
    </fill>
    <fill>
      <patternFill patternType="solid">
        <fgColor indexed="10"/>
        <bgColor indexed="64"/>
      </patternFill>
    </fill>
    <fill>
      <patternFill patternType="solid">
        <fgColor indexed="11"/>
        <bgColor indexed="64"/>
      </patternFill>
    </fill>
    <fill>
      <patternFill patternType="solid">
        <fgColor indexed="22"/>
        <bgColor indexed="64"/>
      </patternFill>
    </fill>
    <fill>
      <patternFill patternType="solid">
        <fgColor indexed="46"/>
        <bgColor indexed="64"/>
      </patternFill>
    </fill>
    <fill>
      <patternFill patternType="solid">
        <fgColor rgb="FFFFFF00"/>
        <bgColor indexed="64"/>
      </patternFill>
    </fill>
  </fills>
  <borders count="63">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style="medium">
        <color indexed="64"/>
      </left>
      <right/>
      <top/>
      <bottom style="double">
        <color indexed="64"/>
      </bottom>
      <diagonal/>
    </border>
    <border>
      <left/>
      <right/>
      <top style="double">
        <color indexed="64"/>
      </top>
      <bottom style="medium">
        <color indexed="64"/>
      </bottom>
      <diagonal/>
    </border>
    <border>
      <left/>
      <right/>
      <top/>
      <bottom style="double">
        <color indexed="64"/>
      </bottom>
      <diagonal/>
    </border>
    <border>
      <left style="thick">
        <color indexed="64"/>
      </left>
      <right/>
      <top/>
      <bottom/>
      <diagonal/>
    </border>
    <border>
      <left/>
      <right style="thick">
        <color indexed="64"/>
      </right>
      <top/>
      <bottom/>
      <diagonal/>
    </border>
    <border>
      <left/>
      <right/>
      <top style="double">
        <color indexed="64"/>
      </top>
      <bottom style="thick">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ck">
        <color indexed="64"/>
      </left>
      <right/>
      <top/>
      <bottom style="thick">
        <color indexed="64"/>
      </bottom>
      <diagonal/>
    </border>
    <border>
      <left/>
      <right style="medium">
        <color indexed="64"/>
      </right>
      <top/>
      <bottom style="thick">
        <color indexed="64"/>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double">
        <color indexed="64"/>
      </top>
      <bottom style="medium">
        <color indexed="64"/>
      </bottom>
      <diagonal/>
    </border>
    <border>
      <left/>
      <right/>
      <top/>
      <bottom style="thick">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ck">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right style="thin">
        <color indexed="64"/>
      </right>
      <top style="thick">
        <color indexed="64"/>
      </top>
      <bottom/>
      <diagonal/>
    </border>
    <border>
      <left/>
      <right style="thin">
        <color indexed="64"/>
      </right>
      <top/>
      <bottom style="double">
        <color indexed="64"/>
      </bottom>
      <diagonal/>
    </border>
    <border>
      <left style="thin">
        <color indexed="64"/>
      </left>
      <right/>
      <top style="thick">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thin">
        <color indexed="64"/>
      </right>
      <top/>
      <bottom style="double">
        <color indexed="64"/>
      </bottom>
      <diagonal/>
    </border>
  </borders>
  <cellStyleXfs count="8">
    <xf numFmtId="0" fontId="0" fillId="0" borderId="0"/>
    <xf numFmtId="44" fontId="1"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0" fillId="0" borderId="0"/>
  </cellStyleXfs>
  <cellXfs count="492">
    <xf numFmtId="0" fontId="0" fillId="0" borderId="0" xfId="0"/>
    <xf numFmtId="0" fontId="0" fillId="2" borderId="0" xfId="0" applyFill="1"/>
    <xf numFmtId="0" fontId="2" fillId="0" borderId="0" xfId="0" applyFont="1"/>
    <xf numFmtId="0" fontId="6" fillId="0" borderId="0" xfId="0" applyFont="1"/>
    <xf numFmtId="0" fontId="5" fillId="0" borderId="0" xfId="3" quotePrefix="1" applyNumberFormat="1"/>
    <xf numFmtId="0" fontId="7" fillId="0" borderId="0" xfId="0" applyFont="1"/>
    <xf numFmtId="0" fontId="5" fillId="0" borderId="0" xfId="3"/>
    <xf numFmtId="0" fontId="8" fillId="0" borderId="0" xfId="3" applyFont="1" applyAlignment="1">
      <alignment horizontal="center"/>
    </xf>
    <xf numFmtId="0" fontId="8" fillId="0" borderId="0" xfId="0" applyFont="1"/>
    <xf numFmtId="164" fontId="5" fillId="0" borderId="0" xfId="3" quotePrefix="1" applyNumberFormat="1"/>
    <xf numFmtId="0" fontId="7" fillId="0" borderId="0" xfId="7" applyFont="1"/>
    <xf numFmtId="0" fontId="1" fillId="0" borderId="0" xfId="2"/>
    <xf numFmtId="0" fontId="7" fillId="0" borderId="0" xfId="2" applyFont="1"/>
    <xf numFmtId="0" fontId="8" fillId="0" borderId="0" xfId="4" applyFont="1" applyAlignment="1">
      <alignment horizontal="center"/>
    </xf>
    <xf numFmtId="0" fontId="1" fillId="0" borderId="0" xfId="4"/>
    <xf numFmtId="0" fontId="8" fillId="0" borderId="0" xfId="7" applyFont="1"/>
    <xf numFmtId="164" fontId="1" fillId="0" borderId="0" xfId="2" quotePrefix="1" applyNumberFormat="1"/>
    <xf numFmtId="0" fontId="7" fillId="0" borderId="0" xfId="5" applyFont="1"/>
    <xf numFmtId="0" fontId="1" fillId="0" borderId="0" xfId="5"/>
    <xf numFmtId="164" fontId="1" fillId="0" borderId="0" xfId="5" quotePrefix="1" applyNumberFormat="1"/>
    <xf numFmtId="0" fontId="1" fillId="0" borderId="0" xfId="6"/>
    <xf numFmtId="164" fontId="1" fillId="0" borderId="0" xfId="6" applyNumberFormat="1"/>
    <xf numFmtId="0" fontId="10" fillId="0" borderId="0" xfId="7"/>
    <xf numFmtId="0" fontId="10" fillId="0" borderId="0" xfId="7" applyAlignment="1"/>
    <xf numFmtId="0" fontId="10" fillId="0" borderId="0" xfId="7" applyAlignment="1">
      <alignment horizontal="center" wrapText="1"/>
    </xf>
    <xf numFmtId="0" fontId="10" fillId="0" borderId="0" xfId="7" applyAlignment="1">
      <alignment horizontal="right"/>
    </xf>
    <xf numFmtId="0" fontId="10" fillId="0" borderId="2" xfId="7" applyBorder="1"/>
    <xf numFmtId="0" fontId="10" fillId="0" borderId="2" xfId="7" applyBorder="1" applyAlignment="1">
      <alignment horizontal="center" wrapText="1"/>
    </xf>
    <xf numFmtId="0" fontId="9" fillId="0" borderId="2" xfId="7" applyFont="1" applyBorder="1" applyAlignment="1">
      <alignment horizontal="center" wrapText="1"/>
    </xf>
    <xf numFmtId="0" fontId="9" fillId="0" borderId="0" xfId="7" applyFont="1" applyBorder="1" applyAlignment="1">
      <alignment horizontal="center" wrapText="1"/>
    </xf>
    <xf numFmtId="0" fontId="10" fillId="0" borderId="0" xfId="7" applyAlignment="1">
      <alignment horizontal="left" wrapText="1"/>
    </xf>
    <xf numFmtId="0" fontId="12" fillId="0" borderId="0" xfId="7" applyFont="1" applyAlignment="1">
      <alignment horizontal="center"/>
    </xf>
    <xf numFmtId="169" fontId="10" fillId="0" borderId="0" xfId="7" applyNumberFormat="1" applyAlignment="1">
      <alignment horizontal="center"/>
    </xf>
    <xf numFmtId="2" fontId="10" fillId="0" borderId="0" xfId="7" applyNumberFormat="1" applyFont="1" applyAlignment="1">
      <alignment horizontal="center"/>
    </xf>
    <xf numFmtId="3" fontId="10" fillId="0" borderId="0" xfId="7" applyNumberFormat="1" applyAlignment="1">
      <alignment horizontal="center"/>
    </xf>
    <xf numFmtId="169" fontId="10" fillId="0" borderId="0" xfId="7" applyNumberFormat="1"/>
    <xf numFmtId="0" fontId="10" fillId="3" borderId="0" xfId="7" applyFill="1" applyAlignment="1">
      <alignment horizontal="left" wrapText="1"/>
    </xf>
    <xf numFmtId="0" fontId="12" fillId="3" borderId="0" xfId="7" applyFont="1" applyFill="1" applyAlignment="1">
      <alignment horizontal="center"/>
    </xf>
    <xf numFmtId="2" fontId="10" fillId="3" borderId="0" xfId="7" applyNumberFormat="1" applyFont="1" applyFill="1" applyAlignment="1">
      <alignment horizontal="center"/>
    </xf>
    <xf numFmtId="3" fontId="10" fillId="0" borderId="0" xfId="7" applyNumberFormat="1"/>
    <xf numFmtId="164" fontId="0" fillId="0" borderId="0" xfId="0" applyNumberFormat="1"/>
    <xf numFmtId="0" fontId="1" fillId="0" borderId="0" xfId="0" applyFont="1" applyFill="1" applyBorder="1"/>
    <xf numFmtId="2" fontId="1" fillId="0" borderId="0" xfId="0" applyNumberFormat="1" applyFont="1" applyFill="1" applyBorder="1"/>
    <xf numFmtId="0" fontId="0" fillId="4" borderId="0" xfId="0" applyFill="1" applyBorder="1"/>
    <xf numFmtId="0" fontId="0" fillId="4" borderId="1" xfId="0" applyFill="1" applyBorder="1"/>
    <xf numFmtId="0" fontId="7" fillId="0" borderId="1" xfId="0" applyFont="1" applyBorder="1"/>
    <xf numFmtId="0" fontId="2" fillId="4" borderId="1" xfId="0" applyFont="1" applyFill="1" applyBorder="1" applyAlignment="1">
      <alignment horizontal="right"/>
    </xf>
    <xf numFmtId="2" fontId="0" fillId="4" borderId="1" xfId="0" applyNumberFormat="1" applyFill="1" applyBorder="1"/>
    <xf numFmtId="2" fontId="6" fillId="4" borderId="1" xfId="0" applyNumberFormat="1" applyFont="1" applyFill="1" applyBorder="1"/>
    <xf numFmtId="11" fontId="0" fillId="4" borderId="1" xfId="0" applyNumberFormat="1" applyFill="1" applyBorder="1"/>
    <xf numFmtId="11" fontId="6" fillId="4" borderId="1" xfId="0" applyNumberFormat="1" applyFont="1" applyFill="1" applyBorder="1"/>
    <xf numFmtId="0" fontId="2" fillId="0" borderId="3" xfId="0" applyFont="1" applyBorder="1"/>
    <xf numFmtId="2" fontId="0" fillId="0" borderId="0" xfId="0" applyNumberFormat="1"/>
    <xf numFmtId="167" fontId="1" fillId="0" borderId="0" xfId="0" applyNumberFormat="1" applyFont="1" applyFill="1" applyBorder="1"/>
    <xf numFmtId="11" fontId="0" fillId="0" borderId="0" xfId="0" applyNumberFormat="1"/>
    <xf numFmtId="0" fontId="5" fillId="2" borderId="0" xfId="3" quotePrefix="1" applyNumberFormat="1" applyFill="1"/>
    <xf numFmtId="0" fontId="6" fillId="0" borderId="0" xfId="0" applyFont="1" applyAlignment="1">
      <alignment horizontal="right"/>
    </xf>
    <xf numFmtId="2" fontId="10" fillId="0" borderId="0" xfId="7" applyNumberFormat="1" applyAlignment="1">
      <alignment horizontal="center"/>
    </xf>
    <xf numFmtId="2" fontId="10" fillId="0" borderId="0" xfId="1" applyNumberFormat="1" applyFont="1" applyAlignment="1">
      <alignment horizontal="center"/>
    </xf>
    <xf numFmtId="2" fontId="10" fillId="0" borderId="0" xfId="7" applyNumberFormat="1"/>
    <xf numFmtId="2" fontId="10" fillId="3" borderId="0" xfId="7" applyNumberFormat="1" applyFill="1" applyAlignment="1">
      <alignment horizontal="center"/>
    </xf>
    <xf numFmtId="2" fontId="10" fillId="3" borderId="0" xfId="1" applyNumberFormat="1" applyFont="1" applyFill="1" applyAlignment="1">
      <alignment horizontal="center"/>
    </xf>
    <xf numFmtId="2" fontId="10" fillId="3" borderId="0" xfId="7" applyNumberFormat="1" applyFill="1"/>
    <xf numFmtId="0" fontId="15" fillId="0" borderId="0" xfId="7" applyFont="1"/>
    <xf numFmtId="0" fontId="6" fillId="0" borderId="0" xfId="4" applyFont="1"/>
    <xf numFmtId="0" fontId="6" fillId="0" borderId="0" xfId="6" applyFont="1"/>
    <xf numFmtId="2" fontId="1" fillId="0" borderId="0" xfId="6" applyNumberFormat="1"/>
    <xf numFmtId="0" fontId="2" fillId="0" borderId="0" xfId="6" applyFont="1"/>
    <xf numFmtId="1" fontId="6" fillId="0" borderId="0" xfId="0" applyNumberFormat="1" applyFont="1"/>
    <xf numFmtId="1" fontId="0" fillId="0" borderId="0" xfId="0" applyNumberFormat="1"/>
    <xf numFmtId="2" fontId="6" fillId="0" borderId="3" xfId="0" applyNumberFormat="1" applyFont="1" applyBorder="1"/>
    <xf numFmtId="2" fontId="6" fillId="0" borderId="0" xfId="0" applyNumberFormat="1" applyFont="1"/>
    <xf numFmtId="2" fontId="0" fillId="0" borderId="3" xfId="0" applyNumberFormat="1" applyBorder="1"/>
    <xf numFmtId="9" fontId="0" fillId="0" borderId="0" xfId="0" applyNumberFormat="1"/>
    <xf numFmtId="0" fontId="2" fillId="0" borderId="0" xfId="3" applyFont="1" applyFill="1" applyAlignment="1">
      <alignment horizontal="center"/>
    </xf>
    <xf numFmtId="0" fontId="0" fillId="0" borderId="0" xfId="0" applyAlignment="1">
      <alignment horizontal="center"/>
    </xf>
    <xf numFmtId="0" fontId="6" fillId="0" borderId="0" xfId="0" applyFont="1" applyAlignment="1">
      <alignment horizontal="center"/>
    </xf>
    <xf numFmtId="0" fontId="6" fillId="0" borderId="0" xfId="0" applyFont="1" applyAlignment="1">
      <alignment horizontal="center" wrapText="1"/>
    </xf>
    <xf numFmtId="10" fontId="0" fillId="0" borderId="0" xfId="0" applyNumberFormat="1" applyAlignment="1">
      <alignment horizontal="center"/>
    </xf>
    <xf numFmtId="0" fontId="0" fillId="0" borderId="0" xfId="0" quotePrefix="1" applyNumberFormat="1" applyAlignment="1">
      <alignment horizontal="center"/>
    </xf>
    <xf numFmtId="2" fontId="0" fillId="0" borderId="0" xfId="0" applyNumberFormat="1" applyAlignment="1">
      <alignment horizontal="center"/>
    </xf>
    <xf numFmtId="2" fontId="5" fillId="0" borderId="0" xfId="3" quotePrefix="1" applyNumberFormat="1" applyAlignment="1">
      <alignment horizontal="center"/>
    </xf>
    <xf numFmtId="0" fontId="0" fillId="0" borderId="4" xfId="0" applyBorder="1" applyAlignment="1">
      <alignment horizontal="center"/>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0" fontId="2" fillId="0" borderId="10" xfId="0" applyFont="1" applyBorder="1"/>
    <xf numFmtId="0" fontId="2" fillId="0" borderId="11" xfId="0" applyFont="1" applyBorder="1"/>
    <xf numFmtId="0" fontId="2" fillId="0" borderId="5" xfId="0" applyFont="1" applyBorder="1"/>
    <xf numFmtId="0" fontId="2" fillId="0" borderId="12" xfId="0" applyFont="1" applyBorder="1" applyAlignment="1">
      <alignment horizontal="right"/>
    </xf>
    <xf numFmtId="2" fontId="0" fillId="0" borderId="12" xfId="0" applyNumberFormat="1" applyBorder="1" applyAlignment="1">
      <alignment horizontal="center"/>
    </xf>
    <xf numFmtId="9" fontId="0" fillId="0" borderId="12" xfId="0" applyNumberFormat="1" applyBorder="1" applyAlignment="1">
      <alignment horizontal="center"/>
    </xf>
    <xf numFmtId="0" fontId="0" fillId="0" borderId="12" xfId="0" applyNumberFormat="1" applyBorder="1" applyAlignment="1">
      <alignment horizontal="center"/>
    </xf>
    <xf numFmtId="9" fontId="6" fillId="0" borderId="0" xfId="0" applyNumberFormat="1" applyFont="1"/>
    <xf numFmtId="0" fontId="6" fillId="0" borderId="0" xfId="0" applyNumberFormat="1" applyFont="1" applyAlignment="1">
      <alignment horizontal="center" wrapText="1"/>
    </xf>
    <xf numFmtId="0" fontId="0" fillId="0" borderId="0" xfId="0" quotePrefix="1" applyNumberFormat="1" applyAlignment="1">
      <alignment horizontal="center" wrapText="1"/>
    </xf>
    <xf numFmtId="0" fontId="6" fillId="0" borderId="0" xfId="0" applyFont="1" applyAlignment="1">
      <alignment horizontal="left" wrapText="1"/>
    </xf>
    <xf numFmtId="0" fontId="6" fillId="0" borderId="0" xfId="0" applyFont="1" applyAlignment="1">
      <alignment horizontal="left"/>
    </xf>
    <xf numFmtId="0" fontId="6" fillId="0" borderId="0" xfId="0" applyNumberFormat="1" applyFont="1" applyAlignment="1">
      <alignment horizontal="left" wrapText="1"/>
    </xf>
    <xf numFmtId="0" fontId="0" fillId="0" borderId="0" xfId="0" quotePrefix="1" applyNumberFormat="1" applyAlignment="1">
      <alignment horizontal="left"/>
    </xf>
    <xf numFmtId="0" fontId="0" fillId="0" borderId="0" xfId="0" quotePrefix="1" applyNumberFormat="1" applyAlignment="1">
      <alignment horizontal="left" wrapText="1"/>
    </xf>
    <xf numFmtId="0" fontId="15" fillId="0" borderId="0" xfId="0" applyFont="1"/>
    <xf numFmtId="0" fontId="6" fillId="0" borderId="13" xfId="0" applyFont="1" applyBorder="1"/>
    <xf numFmtId="0" fontId="0" fillId="0" borderId="13" xfId="0" applyBorder="1"/>
    <xf numFmtId="0" fontId="6" fillId="0" borderId="13" xfId="3" applyNumberFormat="1" applyFont="1" applyFill="1" applyBorder="1"/>
    <xf numFmtId="0" fontId="2" fillId="0" borderId="0" xfId="0" applyFont="1" applyFill="1" applyBorder="1" applyAlignment="1">
      <alignment horizontal="center" wrapText="1"/>
    </xf>
    <xf numFmtId="0" fontId="1" fillId="0" borderId="0" xfId="2" applyAlignment="1">
      <alignment horizontal="center"/>
    </xf>
    <xf numFmtId="0" fontId="1" fillId="0" borderId="0" xfId="4" applyAlignment="1">
      <alignment horizontal="center"/>
    </xf>
    <xf numFmtId="2" fontId="1" fillId="0" borderId="0" xfId="0" applyNumberFormat="1" applyFont="1"/>
    <xf numFmtId="2" fontId="1" fillId="0" borderId="0" xfId="3" quotePrefix="1" applyNumberFormat="1" applyFont="1" applyAlignment="1">
      <alignment horizontal="center"/>
    </xf>
    <xf numFmtId="164" fontId="1" fillId="0" borderId="0" xfId="3" quotePrefix="1" applyNumberFormat="1" applyFont="1"/>
    <xf numFmtId="0" fontId="1" fillId="0" borderId="0" xfId="0" applyFont="1"/>
    <xf numFmtId="169" fontId="16" fillId="3" borderId="0" xfId="0" applyNumberFormat="1" applyFont="1" applyFill="1" applyBorder="1" applyProtection="1">
      <protection locked="0"/>
    </xf>
    <xf numFmtId="0" fontId="0" fillId="0" borderId="0" xfId="0" applyFill="1" applyProtection="1"/>
    <xf numFmtId="0" fontId="6" fillId="0" borderId="0" xfId="0" applyFont="1" applyFill="1" applyProtection="1"/>
    <xf numFmtId="0" fontId="4" fillId="0" borderId="0" xfId="0" applyFont="1" applyFill="1" applyProtection="1"/>
    <xf numFmtId="0" fontId="4" fillId="3" borderId="14" xfId="0" applyFont="1" applyFill="1" applyBorder="1" applyProtection="1">
      <protection locked="0"/>
    </xf>
    <xf numFmtId="0" fontId="4" fillId="3" borderId="15" xfId="0" applyFont="1" applyFill="1" applyBorder="1" applyProtection="1">
      <protection locked="0"/>
    </xf>
    <xf numFmtId="0" fontId="2" fillId="0" borderId="16" xfId="0" applyFont="1" applyFill="1" applyBorder="1" applyProtection="1">
      <protection locked="0"/>
    </xf>
    <xf numFmtId="169" fontId="2" fillId="0" borderId="16" xfId="0" applyNumberFormat="1" applyFont="1" applyFill="1" applyBorder="1" applyProtection="1">
      <protection locked="0"/>
    </xf>
    <xf numFmtId="0" fontId="18" fillId="0" borderId="0" xfId="0" applyFont="1" applyProtection="1"/>
    <xf numFmtId="0" fontId="0" fillId="0" borderId="0" xfId="0" applyProtection="1"/>
    <xf numFmtId="0" fontId="4" fillId="0" borderId="0" xfId="0" applyFont="1" applyProtection="1"/>
    <xf numFmtId="0" fontId="19" fillId="0" borderId="0" xfId="0" applyFont="1" applyProtection="1"/>
    <xf numFmtId="0" fontId="2" fillId="0" borderId="0" xfId="0" applyFont="1" applyFill="1" applyProtection="1"/>
    <xf numFmtId="0" fontId="2" fillId="0" borderId="16" xfId="0" applyFont="1" applyFill="1" applyBorder="1" applyAlignment="1" applyProtection="1">
      <alignment horizontal="right"/>
    </xf>
    <xf numFmtId="0" fontId="23" fillId="0" borderId="0" xfId="0" applyFont="1" applyAlignment="1" applyProtection="1">
      <alignment horizontal="left"/>
    </xf>
    <xf numFmtId="1" fontId="2" fillId="5" borderId="17" xfId="0" applyNumberFormat="1" applyFont="1" applyFill="1" applyBorder="1" applyProtection="1"/>
    <xf numFmtId="0" fontId="0" fillId="0" borderId="0" xfId="0" applyAlignment="1" applyProtection="1">
      <alignment horizontal="center" wrapText="1"/>
    </xf>
    <xf numFmtId="169" fontId="0" fillId="0" borderId="0" xfId="0" applyNumberFormat="1" applyProtection="1"/>
    <xf numFmtId="9" fontId="0" fillId="0" borderId="0" xfId="0" applyNumberFormat="1" applyProtection="1"/>
    <xf numFmtId="2" fontId="0" fillId="0" borderId="0" xfId="0" applyNumberFormat="1" applyProtection="1"/>
    <xf numFmtId="0" fontId="23" fillId="0" borderId="0" xfId="0" applyFont="1" applyProtection="1"/>
    <xf numFmtId="0" fontId="23" fillId="0" borderId="0" xfId="0" applyFont="1" applyAlignment="1" applyProtection="1">
      <alignment horizontal="left" wrapText="1"/>
    </xf>
    <xf numFmtId="0" fontId="0" fillId="5" borderId="18" xfId="0" applyFill="1" applyBorder="1" applyAlignment="1" applyProtection="1">
      <alignment horizontal="center"/>
    </xf>
    <xf numFmtId="0" fontId="17" fillId="0" borderId="0" xfId="0" applyFont="1" applyProtection="1"/>
    <xf numFmtId="0" fontId="0" fillId="6" borderId="5" xfId="0" applyFill="1" applyBorder="1" applyAlignment="1" applyProtection="1">
      <alignment horizontal="center"/>
    </xf>
    <xf numFmtId="0" fontId="0" fillId="6" borderId="6" xfId="0" applyFill="1" applyBorder="1" applyAlignment="1" applyProtection="1">
      <alignment horizontal="center"/>
    </xf>
    <xf numFmtId="0" fontId="0" fillId="6" borderId="2" xfId="0" applyFill="1" applyBorder="1" applyAlignment="1" applyProtection="1">
      <alignment horizontal="center"/>
    </xf>
    <xf numFmtId="0" fontId="0" fillId="6" borderId="5" xfId="0" quotePrefix="1" applyFill="1" applyBorder="1" applyProtection="1"/>
    <xf numFmtId="0" fontId="0" fillId="6" borderId="6" xfId="0" applyFill="1" applyBorder="1" applyProtection="1"/>
    <xf numFmtId="0" fontId="0" fillId="6" borderId="10" xfId="0" quotePrefix="1" applyFill="1" applyBorder="1" applyProtection="1"/>
    <xf numFmtId="0" fontId="0" fillId="6" borderId="0" xfId="0" applyFill="1" applyBorder="1" applyProtection="1"/>
    <xf numFmtId="0" fontId="0" fillId="6" borderId="19" xfId="0" quotePrefix="1" applyFill="1" applyBorder="1" applyProtection="1"/>
    <xf numFmtId="0" fontId="0" fillId="6" borderId="20" xfId="0" applyFill="1" applyBorder="1" applyProtection="1"/>
    <xf numFmtId="0" fontId="22" fillId="0" borderId="0" xfId="0" applyFont="1" applyProtection="1"/>
    <xf numFmtId="1" fontId="0" fillId="0" borderId="0" xfId="0" applyNumberFormat="1" applyProtection="1"/>
    <xf numFmtId="0" fontId="2" fillId="3" borderId="21" xfId="0" applyFont="1" applyFill="1" applyBorder="1" applyProtection="1">
      <protection locked="0"/>
    </xf>
    <xf numFmtId="0" fontId="27" fillId="3" borderId="22" xfId="0" applyFont="1" applyFill="1" applyBorder="1" applyProtection="1">
      <protection locked="0"/>
    </xf>
    <xf numFmtId="164" fontId="5" fillId="0" borderId="0" xfId="3" quotePrefix="1" applyNumberFormat="1" applyAlignment="1">
      <alignment horizontal="center"/>
    </xf>
    <xf numFmtId="165" fontId="0" fillId="0" borderId="23" xfId="0" applyNumberFormat="1" applyBorder="1" applyAlignment="1">
      <alignment horizontal="center"/>
    </xf>
    <xf numFmtId="165" fontId="0" fillId="0" borderId="24" xfId="0" applyNumberFormat="1" applyBorder="1" applyAlignment="1">
      <alignment horizontal="center"/>
    </xf>
    <xf numFmtId="165" fontId="0" fillId="0" borderId="25" xfId="0" applyNumberFormat="1" applyBorder="1" applyAlignment="1">
      <alignment horizontal="center"/>
    </xf>
    <xf numFmtId="2" fontId="0" fillId="0" borderId="0" xfId="0" applyNumberFormat="1" applyBorder="1" applyAlignment="1">
      <alignment horizontal="center"/>
    </xf>
    <xf numFmtId="0" fontId="0" fillId="0" borderId="0" xfId="0" applyBorder="1"/>
    <xf numFmtId="2" fontId="0" fillId="0" borderId="0" xfId="0" applyNumberFormat="1" applyBorder="1" applyAlignment="1">
      <alignment horizontal="right"/>
    </xf>
    <xf numFmtId="166" fontId="0" fillId="0" borderId="0" xfId="0" applyNumberFormat="1" applyBorder="1" applyAlignment="1">
      <alignment horizontal="right"/>
    </xf>
    <xf numFmtId="170" fontId="0" fillId="0" borderId="0" xfId="0" applyNumberFormat="1"/>
    <xf numFmtId="0" fontId="0" fillId="0" borderId="0" xfId="0" applyAlignment="1">
      <alignment horizontal="right"/>
    </xf>
    <xf numFmtId="0" fontId="6" fillId="0" borderId="0" xfId="0" applyNumberFormat="1" applyFont="1"/>
    <xf numFmtId="0" fontId="1" fillId="0" borderId="0" xfId="0" applyFont="1" applyFill="1" applyBorder="1" applyAlignment="1" applyProtection="1">
      <alignment horizontal="center" wrapText="1"/>
    </xf>
    <xf numFmtId="0" fontId="20" fillId="0" borderId="0" xfId="0" applyFont="1" applyFill="1" applyBorder="1" applyProtection="1"/>
    <xf numFmtId="169" fontId="21" fillId="0" borderId="0" xfId="0" applyNumberFormat="1" applyFont="1" applyFill="1" applyBorder="1" applyAlignment="1" applyProtection="1">
      <alignment horizontal="center"/>
    </xf>
    <xf numFmtId="0" fontId="21" fillId="0" borderId="0" xfId="0" applyFont="1" applyFill="1" applyBorder="1" applyAlignment="1" applyProtection="1">
      <alignment horizontal="center"/>
    </xf>
    <xf numFmtId="9" fontId="21" fillId="0" borderId="0" xfId="0" applyNumberFormat="1" applyFont="1" applyFill="1" applyBorder="1" applyAlignment="1" applyProtection="1">
      <alignment horizontal="center"/>
    </xf>
    <xf numFmtId="0" fontId="23" fillId="0" borderId="0" xfId="0" applyFont="1" applyFill="1" applyBorder="1" applyProtection="1"/>
    <xf numFmtId="0" fontId="1" fillId="0" borderId="0" xfId="0" applyFont="1" applyFill="1" applyBorder="1" applyAlignment="1" applyProtection="1">
      <alignment wrapText="1"/>
    </xf>
    <xf numFmtId="0" fontId="0" fillId="0" borderId="0" xfId="0" applyBorder="1" applyAlignment="1">
      <alignment horizontal="center" wrapText="1"/>
    </xf>
    <xf numFmtId="0" fontId="0" fillId="0" borderId="0" xfId="0" applyBorder="1" applyAlignment="1">
      <alignment horizontal="center"/>
    </xf>
    <xf numFmtId="165" fontId="0" fillId="0" borderId="0" xfId="0" applyNumberFormat="1" applyBorder="1" applyAlignment="1">
      <alignment horizontal="center"/>
    </xf>
    <xf numFmtId="171" fontId="0" fillId="0" borderId="0" xfId="0" applyNumberFormat="1"/>
    <xf numFmtId="0" fontId="0" fillId="0" borderId="24" xfId="0" applyBorder="1"/>
    <xf numFmtId="2" fontId="0" fillId="0" borderId="26" xfId="0" applyNumberFormat="1" applyBorder="1" applyAlignment="1">
      <alignment horizontal="center"/>
    </xf>
    <xf numFmtId="2" fontId="0" fillId="0" borderId="27" xfId="0" applyNumberFormat="1" applyBorder="1" applyAlignment="1">
      <alignment horizontal="center"/>
    </xf>
    <xf numFmtId="0" fontId="0" fillId="0" borderId="5" xfId="0" applyFill="1" applyBorder="1" applyAlignment="1">
      <alignment horizontal="center" wrapText="1"/>
    </xf>
    <xf numFmtId="0" fontId="0" fillId="0" borderId="6" xfId="0" applyFill="1" applyBorder="1" applyAlignment="1">
      <alignment horizontal="center" wrapText="1"/>
    </xf>
    <xf numFmtId="0" fontId="0" fillId="0" borderId="7" xfId="0" applyFill="1" applyBorder="1" applyAlignment="1">
      <alignment horizontal="center" wrapText="1"/>
    </xf>
    <xf numFmtId="0" fontId="0" fillId="0" borderId="10" xfId="0" applyBorder="1"/>
    <xf numFmtId="166" fontId="0" fillId="0" borderId="20" xfId="0" applyNumberFormat="1" applyBorder="1" applyAlignment="1">
      <alignment horizontal="right"/>
    </xf>
    <xf numFmtId="2" fontId="0" fillId="0" borderId="20" xfId="0" applyNumberFormat="1" applyBorder="1" applyAlignment="1">
      <alignment horizontal="right"/>
    </xf>
    <xf numFmtId="0" fontId="0" fillId="0" borderId="20" xfId="0" applyBorder="1"/>
    <xf numFmtId="0" fontId="0" fillId="0" borderId="28" xfId="0" applyBorder="1"/>
    <xf numFmtId="164" fontId="5" fillId="0" borderId="0" xfId="3" quotePrefix="1" applyNumberFormat="1" applyBorder="1" applyAlignment="1">
      <alignment horizontal="center"/>
    </xf>
    <xf numFmtId="2" fontId="0" fillId="0" borderId="10" xfId="0" applyNumberFormat="1" applyBorder="1" applyAlignment="1">
      <alignment horizontal="center"/>
    </xf>
    <xf numFmtId="2" fontId="0" fillId="0" borderId="29" xfId="0" applyNumberFormat="1" applyBorder="1" applyAlignment="1">
      <alignment horizontal="center"/>
    </xf>
    <xf numFmtId="2" fontId="0" fillId="0" borderId="30" xfId="0" applyNumberFormat="1" applyBorder="1" applyAlignment="1">
      <alignment horizontal="center"/>
    </xf>
    <xf numFmtId="0" fontId="0" fillId="0" borderId="28" xfId="0" applyBorder="1" applyProtection="1"/>
    <xf numFmtId="0" fontId="1" fillId="0" borderId="0" xfId="6" applyFont="1"/>
    <xf numFmtId="164" fontId="2" fillId="0" borderId="0" xfId="6" applyNumberFormat="1" applyFont="1"/>
    <xf numFmtId="164" fontId="1" fillId="0" borderId="0" xfId="6" applyNumberFormat="1" applyFont="1"/>
    <xf numFmtId="0" fontId="1" fillId="0" borderId="0" xfId="4" applyFont="1"/>
    <xf numFmtId="0" fontId="2" fillId="0" borderId="0" xfId="7" applyFont="1"/>
    <xf numFmtId="0" fontId="2" fillId="0" borderId="19" xfId="4" applyFont="1" applyBorder="1" applyAlignment="1">
      <alignment horizontal="center"/>
    </xf>
    <xf numFmtId="0" fontId="2" fillId="0" borderId="20" xfId="4" applyFont="1" applyBorder="1" applyAlignment="1">
      <alignment horizontal="center"/>
    </xf>
    <xf numFmtId="0" fontId="2" fillId="0" borderId="28" xfId="4" applyFont="1" applyBorder="1" applyAlignment="1">
      <alignment horizontal="center"/>
    </xf>
    <xf numFmtId="169" fontId="1" fillId="0" borderId="0" xfId="0" applyNumberFormat="1" applyFont="1" applyFill="1" applyBorder="1" applyProtection="1">
      <protection locked="0"/>
    </xf>
    <xf numFmtId="169" fontId="1" fillId="0" borderId="5" xfId="0" applyNumberFormat="1" applyFont="1" applyFill="1" applyBorder="1" applyProtection="1">
      <protection locked="0"/>
    </xf>
    <xf numFmtId="169" fontId="1" fillId="0" borderId="6" xfId="0" applyNumberFormat="1" applyFont="1" applyFill="1" applyBorder="1" applyProtection="1">
      <protection locked="0"/>
    </xf>
    <xf numFmtId="169" fontId="1" fillId="0" borderId="10" xfId="0" applyNumberFormat="1" applyFont="1" applyFill="1" applyBorder="1" applyProtection="1">
      <protection locked="0"/>
    </xf>
    <xf numFmtId="169" fontId="1" fillId="0" borderId="24" xfId="0" applyNumberFormat="1" applyFont="1" applyFill="1" applyBorder="1" applyProtection="1">
      <protection locked="0"/>
    </xf>
    <xf numFmtId="169" fontId="1" fillId="0" borderId="7" xfId="0" applyNumberFormat="1" applyFont="1" applyFill="1" applyBorder="1" applyProtection="1">
      <protection locked="0"/>
    </xf>
    <xf numFmtId="0" fontId="1" fillId="0" borderId="0" xfId="0" applyNumberFormat="1" applyFont="1" applyAlignment="1">
      <alignment horizontal="center" wrapText="1"/>
    </xf>
    <xf numFmtId="0" fontId="1" fillId="0" borderId="0" xfId="5" applyFont="1"/>
    <xf numFmtId="2" fontId="1" fillId="0" borderId="0" xfId="5" quotePrefix="1" applyNumberFormat="1" applyFont="1"/>
    <xf numFmtId="164" fontId="1" fillId="0" borderId="0" xfId="5" quotePrefix="1" applyNumberFormat="1" applyFont="1"/>
    <xf numFmtId="0" fontId="27" fillId="3" borderId="31" xfId="0" applyFont="1" applyFill="1" applyBorder="1" applyProtection="1">
      <protection locked="0"/>
    </xf>
    <xf numFmtId="0" fontId="20" fillId="5" borderId="6" xfId="0" applyFont="1" applyFill="1" applyBorder="1" applyAlignment="1" applyProtection="1">
      <alignment horizontal="center"/>
    </xf>
    <xf numFmtId="9" fontId="20" fillId="5" borderId="6" xfId="0" applyNumberFormat="1" applyFont="1" applyFill="1" applyBorder="1" applyAlignment="1" applyProtection="1">
      <alignment horizontal="center"/>
    </xf>
    <xf numFmtId="169" fontId="1" fillId="5" borderId="6" xfId="0" applyNumberFormat="1" applyFont="1" applyFill="1" applyBorder="1" applyAlignment="1" applyProtection="1"/>
    <xf numFmtId="169" fontId="1" fillId="5" borderId="7" xfId="0" applyNumberFormat="1" applyFont="1" applyFill="1" applyBorder="1" applyAlignment="1" applyProtection="1"/>
    <xf numFmtId="0" fontId="1" fillId="0" borderId="24" xfId="0" applyFont="1" applyFill="1" applyBorder="1" applyAlignment="1" applyProtection="1">
      <alignment wrapText="1"/>
    </xf>
    <xf numFmtId="0" fontId="1" fillId="0" borderId="28" xfId="0" applyFont="1" applyFill="1" applyBorder="1" applyAlignment="1" applyProtection="1">
      <alignment wrapText="1"/>
    </xf>
    <xf numFmtId="0" fontId="21" fillId="5" borderId="0" xfId="0" applyFont="1" applyFill="1" applyBorder="1" applyAlignment="1" applyProtection="1">
      <alignment horizontal="center"/>
    </xf>
    <xf numFmtId="2" fontId="0" fillId="6" borderId="6" xfId="0" applyNumberFormat="1" applyFill="1" applyBorder="1" applyProtection="1"/>
    <xf numFmtId="0" fontId="0" fillId="6" borderId="32" xfId="0" applyFill="1" applyBorder="1" applyProtection="1"/>
    <xf numFmtId="2" fontId="0" fillId="6" borderId="32" xfId="0" applyNumberFormat="1" applyFill="1" applyBorder="1" applyProtection="1"/>
    <xf numFmtId="0" fontId="0" fillId="6" borderId="5" xfId="0" applyFont="1" applyFill="1" applyBorder="1" applyProtection="1"/>
    <xf numFmtId="0" fontId="0" fillId="6" borderId="10" xfId="0" applyFont="1" applyFill="1" applyBorder="1" applyProtection="1"/>
    <xf numFmtId="0" fontId="0" fillId="6" borderId="10" xfId="0" applyFill="1" applyBorder="1" applyProtection="1"/>
    <xf numFmtId="0" fontId="0" fillId="6" borderId="19" xfId="0" applyFont="1" applyFill="1" applyBorder="1" applyProtection="1"/>
    <xf numFmtId="169" fontId="0" fillId="6" borderId="5" xfId="0" applyNumberFormat="1" applyFill="1" applyBorder="1" applyAlignment="1" applyProtection="1">
      <alignment horizontal="center"/>
    </xf>
    <xf numFmtId="0" fontId="0" fillId="6" borderId="0" xfId="0" applyFill="1" applyBorder="1" applyAlignment="1" applyProtection="1">
      <alignment horizontal="center"/>
    </xf>
    <xf numFmtId="0" fontId="0" fillId="6" borderId="5" xfId="0" applyFill="1" applyBorder="1" applyProtection="1"/>
    <xf numFmtId="1" fontId="0" fillId="6" borderId="5" xfId="0" applyNumberFormat="1" applyFill="1" applyBorder="1" applyAlignment="1" applyProtection="1">
      <alignment horizontal="center"/>
    </xf>
    <xf numFmtId="1" fontId="0" fillId="6" borderId="6" xfId="0" applyNumberFormat="1" applyFill="1" applyBorder="1" applyAlignment="1" applyProtection="1">
      <alignment horizontal="center"/>
    </xf>
    <xf numFmtId="1" fontId="0" fillId="6" borderId="10" xfId="0" applyNumberFormat="1" applyFill="1" applyBorder="1" applyAlignment="1" applyProtection="1">
      <alignment horizontal="center"/>
    </xf>
    <xf numFmtId="1" fontId="21" fillId="5" borderId="3" xfId="0" applyNumberFormat="1" applyFont="1" applyFill="1" applyBorder="1" applyAlignment="1" applyProtection="1">
      <alignment horizontal="center"/>
    </xf>
    <xf numFmtId="1" fontId="21" fillId="5" borderId="0" xfId="0" applyNumberFormat="1" applyFont="1" applyFill="1" applyBorder="1" applyAlignment="1" applyProtection="1">
      <alignment horizontal="center"/>
    </xf>
    <xf numFmtId="1" fontId="21" fillId="5" borderId="20" xfId="0" applyNumberFormat="1" applyFont="1" applyFill="1" applyBorder="1" applyAlignment="1" applyProtection="1">
      <alignment horizontal="center"/>
    </xf>
    <xf numFmtId="0" fontId="21" fillId="5" borderId="3" xfId="0" applyFont="1" applyFill="1" applyBorder="1" applyAlignment="1" applyProtection="1">
      <alignment horizontal="center"/>
    </xf>
    <xf numFmtId="0" fontId="21" fillId="5" borderId="20" xfId="0" applyFont="1" applyFill="1" applyBorder="1" applyAlignment="1" applyProtection="1">
      <alignment horizontal="center"/>
    </xf>
    <xf numFmtId="2" fontId="21" fillId="5" borderId="33" xfId="0" applyNumberFormat="1" applyFont="1" applyFill="1" applyBorder="1" applyAlignment="1" applyProtection="1"/>
    <xf numFmtId="2" fontId="21" fillId="5" borderId="34" xfId="0" applyNumberFormat="1" applyFont="1" applyFill="1" applyBorder="1" applyAlignment="1" applyProtection="1"/>
    <xf numFmtId="0" fontId="1" fillId="6" borderId="35" xfId="0" applyFont="1" applyFill="1" applyBorder="1" applyAlignment="1" applyProtection="1">
      <alignment horizontal="center"/>
    </xf>
    <xf numFmtId="2" fontId="1" fillId="0" borderId="0" xfId="5" applyNumberFormat="1" applyFont="1"/>
    <xf numFmtId="0" fontId="1" fillId="6" borderId="36" xfId="0" applyFont="1" applyFill="1" applyBorder="1" applyProtection="1"/>
    <xf numFmtId="0" fontId="1" fillId="6" borderId="17" xfId="0" applyFont="1" applyFill="1" applyBorder="1" applyProtection="1"/>
    <xf numFmtId="0" fontId="1" fillId="0" borderId="0" xfId="0" applyFont="1" applyAlignment="1" applyProtection="1">
      <alignment horizontal="center"/>
    </xf>
    <xf numFmtId="0" fontId="1" fillId="0" borderId="0" xfId="0" applyFont="1" applyFill="1" applyProtection="1"/>
    <xf numFmtId="170" fontId="1" fillId="5" borderId="14" xfId="0" applyNumberFormat="1" applyFont="1" applyFill="1" applyBorder="1" applyProtection="1"/>
    <xf numFmtId="0" fontId="1" fillId="5" borderId="37" xfId="0" applyFont="1" applyFill="1" applyBorder="1" applyProtection="1"/>
    <xf numFmtId="0" fontId="1" fillId="5" borderId="38" xfId="0" applyFont="1" applyFill="1" applyBorder="1" applyProtection="1"/>
    <xf numFmtId="170" fontId="1" fillId="5" borderId="15" xfId="0" applyNumberFormat="1" applyFont="1" applyFill="1" applyBorder="1" applyAlignment="1" applyProtection="1">
      <alignment horizontal="center"/>
    </xf>
    <xf numFmtId="0" fontId="1" fillId="5" borderId="39" xfId="0" applyFont="1" applyFill="1" applyBorder="1" applyProtection="1"/>
    <xf numFmtId="0" fontId="1" fillId="5" borderId="29" xfId="0" applyFont="1" applyFill="1" applyBorder="1" applyProtection="1"/>
    <xf numFmtId="0" fontId="21" fillId="5" borderId="0" xfId="0" applyFont="1" applyFill="1" applyBorder="1" applyAlignment="1" applyProtection="1">
      <alignment horizontal="right"/>
    </xf>
    <xf numFmtId="2" fontId="21" fillId="5" borderId="6" xfId="0" applyNumberFormat="1" applyFont="1" applyFill="1" applyBorder="1" applyAlignment="1" applyProtection="1">
      <alignment horizontal="right"/>
    </xf>
    <xf numFmtId="2" fontId="21" fillId="5" borderId="32" xfId="0" applyNumberFormat="1" applyFont="1" applyFill="1" applyBorder="1" applyAlignment="1" applyProtection="1">
      <alignment horizontal="right"/>
    </xf>
    <xf numFmtId="0" fontId="1" fillId="0" borderId="0" xfId="0" applyFont="1" applyProtection="1"/>
    <xf numFmtId="0" fontId="1" fillId="6" borderId="10" xfId="0" applyFont="1" applyFill="1" applyBorder="1" applyAlignment="1" applyProtection="1">
      <alignment horizontal="center"/>
    </xf>
    <xf numFmtId="1" fontId="21" fillId="5" borderId="32" xfId="0" applyNumberFormat="1" applyFont="1" applyFill="1" applyBorder="1" applyAlignment="1" applyProtection="1">
      <alignment horizontal="right"/>
    </xf>
    <xf numFmtId="1" fontId="21" fillId="5" borderId="0" xfId="0" applyNumberFormat="1" applyFont="1" applyFill="1" applyBorder="1" applyAlignment="1" applyProtection="1">
      <alignment horizontal="right"/>
    </xf>
    <xf numFmtId="0" fontId="1" fillId="6" borderId="10" xfId="0" applyFont="1" applyFill="1" applyBorder="1" applyProtection="1"/>
    <xf numFmtId="1" fontId="21" fillId="5" borderId="20" xfId="0" applyNumberFormat="1" applyFont="1" applyFill="1" applyBorder="1" applyAlignment="1" applyProtection="1">
      <alignment horizontal="right"/>
    </xf>
    <xf numFmtId="0" fontId="21" fillId="5" borderId="20" xfId="0" applyFont="1" applyFill="1" applyBorder="1" applyAlignment="1" applyProtection="1">
      <alignment horizontal="right"/>
    </xf>
    <xf numFmtId="0" fontId="1" fillId="6" borderId="7" xfId="0" applyFont="1" applyFill="1" applyBorder="1" applyAlignment="1" applyProtection="1">
      <alignment wrapText="1"/>
    </xf>
    <xf numFmtId="1" fontId="21" fillId="5" borderId="3" xfId="0" applyNumberFormat="1" applyFont="1" applyFill="1" applyBorder="1" applyAlignment="1" applyProtection="1">
      <alignment horizontal="right"/>
    </xf>
    <xf numFmtId="0" fontId="21" fillId="5" borderId="3" xfId="0" applyFont="1" applyFill="1" applyBorder="1" applyAlignment="1" applyProtection="1">
      <alignment horizontal="right"/>
    </xf>
    <xf numFmtId="168" fontId="21" fillId="5" borderId="0" xfId="0" applyNumberFormat="1" applyFont="1" applyFill="1" applyBorder="1" applyAlignment="1" applyProtection="1">
      <alignment horizontal="right"/>
    </xf>
    <xf numFmtId="1" fontId="1" fillId="6" borderId="10" xfId="0" applyNumberFormat="1" applyFont="1" applyFill="1" applyBorder="1" applyAlignment="1" applyProtection="1">
      <alignment horizontal="center"/>
    </xf>
    <xf numFmtId="0" fontId="1" fillId="0" borderId="40" xfId="0" applyFont="1" applyFill="1" applyBorder="1" applyProtection="1"/>
    <xf numFmtId="0" fontId="1" fillId="0" borderId="16" xfId="0" applyFont="1" applyFill="1" applyBorder="1" applyProtection="1"/>
    <xf numFmtId="9" fontId="1" fillId="0" borderId="16" xfId="0" applyNumberFormat="1" applyFont="1" applyFill="1" applyBorder="1" applyProtection="1"/>
    <xf numFmtId="9" fontId="1" fillId="0" borderId="41" xfId="0" applyNumberFormat="1" applyFont="1" applyFill="1" applyBorder="1" applyProtection="1"/>
    <xf numFmtId="2" fontId="2" fillId="0" borderId="16" xfId="0" applyNumberFormat="1" applyFont="1" applyFill="1" applyBorder="1" applyProtection="1"/>
    <xf numFmtId="0" fontId="1" fillId="6" borderId="42" xfId="0" applyFont="1" applyFill="1" applyBorder="1" applyProtection="1"/>
    <xf numFmtId="0" fontId="1" fillId="6" borderId="5" xfId="0" applyFont="1" applyFill="1" applyBorder="1" applyProtection="1"/>
    <xf numFmtId="0" fontId="0" fillId="6" borderId="43" xfId="0" applyFill="1" applyBorder="1" applyAlignment="1" applyProtection="1">
      <alignment horizontal="left"/>
    </xf>
    <xf numFmtId="0" fontId="0" fillId="6" borderId="10" xfId="0" applyFill="1" applyBorder="1" applyAlignment="1" applyProtection="1">
      <alignment horizontal="center"/>
    </xf>
    <xf numFmtId="0" fontId="31" fillId="0" borderId="0" xfId="5" applyFont="1" applyFill="1"/>
    <xf numFmtId="0" fontId="4" fillId="0" borderId="0" xfId="5" applyFont="1" applyFill="1"/>
    <xf numFmtId="0" fontId="32" fillId="0" borderId="0" xfId="5" applyFont="1" applyFill="1"/>
    <xf numFmtId="0" fontId="33" fillId="0" borderId="0" xfId="5" applyFont="1" applyFill="1"/>
    <xf numFmtId="0" fontId="34" fillId="0" borderId="0" xfId="7" applyFont="1"/>
    <xf numFmtId="0" fontId="34" fillId="0" borderId="0" xfId="7" applyNumberFormat="1" applyFont="1"/>
    <xf numFmtId="0" fontId="1" fillId="0" borderId="6" xfId="0" applyFont="1" applyBorder="1" applyAlignment="1">
      <alignment horizontal="center" wrapText="1"/>
    </xf>
    <xf numFmtId="0" fontId="1" fillId="0" borderId="44" xfId="0" applyFont="1" applyBorder="1" applyAlignment="1">
      <alignment horizontal="center" wrapText="1"/>
    </xf>
    <xf numFmtId="0" fontId="1" fillId="0" borderId="0" xfId="0" applyFont="1" applyFill="1" applyBorder="1" applyAlignment="1">
      <alignment horizontal="center" wrapText="1"/>
    </xf>
    <xf numFmtId="0" fontId="1" fillId="0" borderId="4" xfId="0" applyFont="1" applyBorder="1" applyAlignment="1">
      <alignment horizontal="center"/>
    </xf>
    <xf numFmtId="0" fontId="1" fillId="0" borderId="45" xfId="0" applyFont="1" applyBorder="1" applyAlignment="1">
      <alignment horizontal="center"/>
    </xf>
    <xf numFmtId="0" fontId="1" fillId="0" borderId="10" xfId="0" applyFont="1" applyBorder="1"/>
    <xf numFmtId="0" fontId="1" fillId="0" borderId="19" xfId="0" applyFont="1" applyBorder="1"/>
    <xf numFmtId="0" fontId="1" fillId="7" borderId="0" xfId="0" applyFont="1" applyFill="1" applyBorder="1" applyProtection="1"/>
    <xf numFmtId="0" fontId="1" fillId="7" borderId="14" xfId="0" applyFont="1" applyFill="1" applyBorder="1" applyProtection="1"/>
    <xf numFmtId="0" fontId="35" fillId="8" borderId="14" xfId="0" applyFont="1" applyFill="1" applyBorder="1" applyProtection="1"/>
    <xf numFmtId="0" fontId="35" fillId="8" borderId="0" xfId="0" applyFont="1" applyFill="1" applyBorder="1" applyProtection="1"/>
    <xf numFmtId="0" fontId="35" fillId="8" borderId="10" xfId="0" applyFont="1" applyFill="1" applyBorder="1" applyAlignment="1" applyProtection="1">
      <alignment horizontal="left" wrapText="1"/>
    </xf>
    <xf numFmtId="0" fontId="35" fillId="8" borderId="0" xfId="0" applyFont="1" applyFill="1" applyBorder="1" applyAlignment="1" applyProtection="1">
      <alignment horizontal="left" wrapText="1"/>
    </xf>
    <xf numFmtId="169" fontId="35" fillId="8" borderId="0" xfId="0" applyNumberFormat="1" applyFont="1" applyFill="1" applyBorder="1" applyAlignment="1" applyProtection="1">
      <alignment horizontal="left"/>
    </xf>
    <xf numFmtId="0" fontId="1" fillId="9" borderId="14" xfId="0" applyFont="1" applyFill="1" applyBorder="1" applyProtection="1"/>
    <xf numFmtId="0" fontId="1" fillId="9" borderId="0" xfId="0" applyFont="1" applyFill="1" applyBorder="1" applyProtection="1"/>
    <xf numFmtId="0" fontId="35" fillId="10" borderId="14" xfId="0" applyFont="1" applyFill="1" applyBorder="1" applyProtection="1"/>
    <xf numFmtId="0" fontId="35" fillId="10" borderId="0" xfId="0" applyFont="1" applyFill="1" applyBorder="1" applyProtection="1"/>
    <xf numFmtId="0" fontId="1" fillId="11" borderId="14" xfId="0" applyFont="1" applyFill="1" applyBorder="1" applyProtection="1"/>
    <xf numFmtId="0" fontId="1" fillId="11" borderId="0" xfId="0" applyFont="1" applyFill="1" applyBorder="1" applyProtection="1"/>
    <xf numFmtId="0" fontId="24" fillId="0" borderId="10" xfId="0" applyFont="1" applyFill="1" applyBorder="1" applyAlignment="1" applyProtection="1">
      <alignment horizontal="center" vertical="center" wrapText="1"/>
    </xf>
    <xf numFmtId="0" fontId="1" fillId="2" borderId="14" xfId="0" applyFont="1" applyFill="1" applyBorder="1" applyProtection="1"/>
    <xf numFmtId="0" fontId="1" fillId="2" borderId="0" xfId="0" applyFont="1" applyFill="1" applyBorder="1" applyProtection="1"/>
    <xf numFmtId="0" fontId="2" fillId="2" borderId="0" xfId="0" applyFont="1" applyFill="1" applyBorder="1" applyProtection="1"/>
    <xf numFmtId="0" fontId="2" fillId="2" borderId="15" xfId="0" applyFont="1" applyFill="1" applyBorder="1" applyProtection="1"/>
    <xf numFmtId="0" fontId="1" fillId="7" borderId="0" xfId="5" applyFont="1" applyFill="1" applyAlignment="1">
      <alignment horizontal="center"/>
    </xf>
    <xf numFmtId="0" fontId="35" fillId="8" borderId="0" xfId="5" applyFont="1" applyFill="1" applyAlignment="1">
      <alignment horizontal="center"/>
    </xf>
    <xf numFmtId="0" fontId="1" fillId="9" borderId="0" xfId="5" applyFont="1" applyFill="1" applyAlignment="1">
      <alignment horizontal="center"/>
    </xf>
    <xf numFmtId="0" fontId="35" fillId="10" borderId="0" xfId="5" applyFont="1" applyFill="1" applyAlignment="1">
      <alignment horizontal="center"/>
    </xf>
    <xf numFmtId="0" fontId="1" fillId="11" borderId="0" xfId="5" applyFont="1" applyFill="1" applyAlignment="1">
      <alignment horizontal="center"/>
    </xf>
    <xf numFmtId="0" fontId="1" fillId="2" borderId="0" xfId="5" applyFont="1" applyFill="1" applyAlignment="1">
      <alignment horizontal="center"/>
    </xf>
    <xf numFmtId="0" fontId="1" fillId="0" borderId="0" xfId="0" applyFont="1" applyFill="1"/>
    <xf numFmtId="2" fontId="1" fillId="0" borderId="0" xfId="5" quotePrefix="1" applyNumberFormat="1" applyFont="1" applyFill="1"/>
    <xf numFmtId="0" fontId="0" fillId="0" borderId="0" xfId="0" applyFill="1"/>
    <xf numFmtId="0" fontId="2" fillId="0" borderId="0" xfId="0" applyNumberFormat="1" applyFont="1" applyAlignment="1">
      <alignment horizontal="center" wrapText="1"/>
    </xf>
    <xf numFmtId="0" fontId="2" fillId="0" borderId="0" xfId="5" applyFont="1"/>
    <xf numFmtId="0" fontId="16" fillId="0" borderId="24" xfId="0" applyFont="1" applyFill="1" applyBorder="1" applyAlignment="1" applyProtection="1">
      <alignment horizontal="left" vertical="center" wrapText="1"/>
    </xf>
    <xf numFmtId="0" fontId="38" fillId="0" borderId="0" xfId="0" applyFont="1"/>
    <xf numFmtId="0" fontId="39" fillId="0" borderId="0" xfId="7" applyFont="1"/>
    <xf numFmtId="2" fontId="0" fillId="0" borderId="29" xfId="0" applyNumberFormat="1" applyFill="1" applyBorder="1" applyAlignment="1">
      <alignment horizontal="center"/>
    </xf>
    <xf numFmtId="0" fontId="1" fillId="0" borderId="0" xfId="0" applyFont="1" applyBorder="1"/>
    <xf numFmtId="2" fontId="1" fillId="0" borderId="0" xfId="0" applyNumberFormat="1" applyFont="1" applyBorder="1" applyAlignment="1">
      <alignment horizontal="right"/>
    </xf>
    <xf numFmtId="0" fontId="1" fillId="12" borderId="0" xfId="6" applyFill="1"/>
    <xf numFmtId="0" fontId="2" fillId="12" borderId="43" xfId="6" applyFont="1" applyFill="1" applyBorder="1"/>
    <xf numFmtId="169" fontId="2" fillId="12" borderId="43" xfId="0" applyNumberFormat="1" applyFont="1" applyFill="1" applyBorder="1" applyProtection="1">
      <protection locked="0"/>
    </xf>
    <xf numFmtId="169" fontId="2" fillId="12" borderId="18" xfId="0" applyNumberFormat="1" applyFont="1" applyFill="1" applyBorder="1" applyProtection="1">
      <protection locked="0"/>
    </xf>
    <xf numFmtId="169" fontId="2" fillId="12" borderId="46" xfId="0" applyNumberFormat="1" applyFont="1" applyFill="1" applyBorder="1" applyProtection="1">
      <protection locked="0"/>
    </xf>
    <xf numFmtId="167" fontId="0" fillId="0" borderId="0" xfId="0" applyNumberFormat="1"/>
    <xf numFmtId="0" fontId="0" fillId="14" borderId="0" xfId="0" applyFill="1"/>
    <xf numFmtId="2" fontId="0" fillId="14" borderId="0" xfId="0" applyNumberFormat="1" applyFill="1"/>
    <xf numFmtId="167" fontId="0" fillId="14" borderId="0" xfId="0" applyNumberFormat="1" applyFill="1"/>
    <xf numFmtId="0" fontId="40" fillId="0" borderId="0" xfId="7" applyFont="1"/>
    <xf numFmtId="0" fontId="41" fillId="0" borderId="0" xfId="2" applyFont="1"/>
    <xf numFmtId="167" fontId="1" fillId="0" borderId="0" xfId="2" applyNumberFormat="1"/>
    <xf numFmtId="167" fontId="1" fillId="0" borderId="0" xfId="6" applyNumberFormat="1"/>
    <xf numFmtId="0" fontId="42" fillId="0" borderId="0" xfId="0" applyFont="1"/>
    <xf numFmtId="0" fontId="42" fillId="14" borderId="0" xfId="0" applyFont="1" applyFill="1"/>
    <xf numFmtId="0" fontId="2" fillId="14" borderId="0" xfId="3" applyFont="1" applyFill="1" applyAlignment="1">
      <alignment horizontal="center"/>
    </xf>
    <xf numFmtId="0" fontId="2" fillId="14" borderId="0" xfId="4" applyFont="1" applyFill="1" applyAlignment="1">
      <alignment horizontal="center"/>
    </xf>
    <xf numFmtId="0" fontId="42" fillId="14" borderId="10" xfId="0" applyFont="1" applyFill="1" applyBorder="1"/>
    <xf numFmtId="0" fontId="0" fillId="6" borderId="19" xfId="0" quotePrefix="1" applyFont="1" applyFill="1" applyBorder="1" applyProtection="1"/>
    <xf numFmtId="169" fontId="21" fillId="5" borderId="0" xfId="0" applyNumberFormat="1" applyFont="1" applyFill="1" applyBorder="1" applyAlignment="1" applyProtection="1">
      <alignment horizontal="right"/>
    </xf>
    <xf numFmtId="0" fontId="21" fillId="5" borderId="0" xfId="0" applyFont="1" applyFill="1" applyBorder="1" applyAlignment="1" applyProtection="1">
      <alignment horizontal="right"/>
    </xf>
    <xf numFmtId="0" fontId="1" fillId="6" borderId="6" xfId="0" applyFont="1" applyFill="1" applyBorder="1" applyAlignment="1" applyProtection="1">
      <alignment horizontal="center" wrapText="1"/>
    </xf>
    <xf numFmtId="0" fontId="1" fillId="6" borderId="20" xfId="0" applyFont="1" applyFill="1" applyBorder="1" applyAlignment="1" applyProtection="1">
      <alignment horizontal="center" wrapText="1"/>
    </xf>
    <xf numFmtId="0" fontId="1" fillId="6" borderId="7" xfId="0" applyFont="1" applyFill="1" applyBorder="1" applyAlignment="1" applyProtection="1">
      <alignment horizontal="center" wrapText="1"/>
    </xf>
    <xf numFmtId="0" fontId="1" fillId="6" borderId="28" xfId="0" applyFont="1" applyFill="1" applyBorder="1" applyAlignment="1" applyProtection="1">
      <alignment horizontal="center" wrapText="1"/>
    </xf>
    <xf numFmtId="169" fontId="1" fillId="5" borderId="20" xfId="0" applyNumberFormat="1" applyFont="1" applyFill="1" applyBorder="1" applyAlignment="1" applyProtection="1">
      <alignment horizontal="right"/>
    </xf>
    <xf numFmtId="169" fontId="1" fillId="5" borderId="28" xfId="0" applyNumberFormat="1" applyFont="1" applyFill="1" applyBorder="1" applyAlignment="1" applyProtection="1">
      <alignment horizontal="right"/>
    </xf>
    <xf numFmtId="169" fontId="21" fillId="5" borderId="20" xfId="0" applyNumberFormat="1" applyFont="1" applyFill="1" applyBorder="1" applyAlignment="1" applyProtection="1">
      <alignment horizontal="right"/>
    </xf>
    <xf numFmtId="9" fontId="21" fillId="5" borderId="20" xfId="0" applyNumberFormat="1" applyFont="1" applyFill="1" applyBorder="1" applyAlignment="1" applyProtection="1">
      <alignment horizontal="right"/>
    </xf>
    <xf numFmtId="0" fontId="1" fillId="6" borderId="5" xfId="0" applyFont="1" applyFill="1" applyBorder="1" applyAlignment="1" applyProtection="1">
      <alignment horizontal="center" wrapText="1"/>
    </xf>
    <xf numFmtId="0" fontId="0" fillId="0" borderId="6"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9" fontId="1" fillId="6" borderId="6" xfId="0" applyNumberFormat="1" applyFont="1" applyFill="1" applyBorder="1" applyAlignment="1" applyProtection="1">
      <alignment horizontal="center" wrapText="1"/>
    </xf>
    <xf numFmtId="0" fontId="1" fillId="7" borderId="5" xfId="0" applyFont="1" applyFill="1" applyBorder="1" applyAlignment="1" applyProtection="1">
      <alignment horizontal="left" wrapText="1"/>
    </xf>
    <xf numFmtId="0" fontId="1" fillId="7" borderId="6" xfId="0" applyFont="1" applyFill="1" applyBorder="1" applyAlignment="1" applyProtection="1">
      <alignment horizontal="left" wrapText="1"/>
    </xf>
    <xf numFmtId="9" fontId="21" fillId="5" borderId="0" xfId="0" applyNumberFormat="1" applyFont="1" applyFill="1" applyBorder="1" applyAlignment="1" applyProtection="1">
      <alignment horizontal="right"/>
    </xf>
    <xf numFmtId="168" fontId="21" fillId="5" borderId="0" xfId="0" applyNumberFormat="1" applyFont="1" applyFill="1" applyBorder="1" applyAlignment="1" applyProtection="1">
      <alignment horizontal="center"/>
    </xf>
    <xf numFmtId="168" fontId="21" fillId="5" borderId="24" xfId="0" applyNumberFormat="1" applyFont="1" applyFill="1" applyBorder="1" applyAlignment="1" applyProtection="1">
      <alignment horizontal="center"/>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24" xfId="0" applyFont="1" applyFill="1" applyBorder="1" applyAlignment="1" applyProtection="1">
      <alignment horizontal="left" vertical="top"/>
    </xf>
    <xf numFmtId="0" fontId="25" fillId="0" borderId="10"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xf>
    <xf numFmtId="0" fontId="25" fillId="0" borderId="24" xfId="0" applyFont="1" applyFill="1" applyBorder="1" applyAlignment="1" applyProtection="1">
      <alignment horizontal="left" vertical="top" wrapText="1"/>
    </xf>
    <xf numFmtId="0" fontId="25" fillId="0" borderId="20" xfId="0" applyFont="1" applyFill="1" applyBorder="1" applyAlignment="1" applyProtection="1">
      <alignment horizontal="left" vertical="top" wrapText="1"/>
    </xf>
    <xf numFmtId="0" fontId="25" fillId="0" borderId="28" xfId="0" applyFont="1" applyFill="1" applyBorder="1" applyAlignment="1" applyProtection="1">
      <alignment horizontal="left" vertical="top" wrapText="1"/>
    </xf>
    <xf numFmtId="0" fontId="24" fillId="0" borderId="10" xfId="0" applyFont="1" applyFill="1" applyBorder="1" applyAlignment="1" applyProtection="1">
      <alignment horizontal="center" vertical="top" wrapText="1"/>
    </xf>
    <xf numFmtId="0" fontId="0" fillId="0" borderId="0" xfId="0" applyAlignment="1">
      <alignment vertical="top" wrapText="1"/>
    </xf>
    <xf numFmtId="0" fontId="0" fillId="0" borderId="24" xfId="0" applyBorder="1" applyAlignment="1">
      <alignment vertical="top" wrapText="1"/>
    </xf>
    <xf numFmtId="0" fontId="0" fillId="0" borderId="0" xfId="0" applyFill="1" applyAlignment="1">
      <alignment vertical="top" wrapText="1"/>
    </xf>
    <xf numFmtId="0" fontId="0" fillId="0" borderId="24" xfId="0" applyFill="1" applyBorder="1" applyAlignment="1">
      <alignment vertical="top" wrapText="1"/>
    </xf>
    <xf numFmtId="0" fontId="16" fillId="3" borderId="0" xfId="0" applyFont="1" applyFill="1" applyBorder="1" applyAlignment="1" applyProtection="1">
      <alignment horizontal="left" vertical="center" wrapText="1"/>
    </xf>
    <xf numFmtId="0" fontId="24" fillId="13" borderId="0" xfId="0" applyFont="1" applyFill="1" applyBorder="1" applyAlignment="1" applyProtection="1">
      <alignment horizontal="center" vertical="center" wrapText="1"/>
    </xf>
    <xf numFmtId="0" fontId="36" fillId="13" borderId="0" xfId="0" applyFont="1" applyFill="1" applyAlignment="1">
      <alignment horizontal="center" vertical="center" wrapText="1"/>
    </xf>
    <xf numFmtId="1" fontId="1" fillId="0" borderId="10" xfId="0" applyNumberFormat="1" applyFont="1" applyFill="1" applyBorder="1" applyAlignment="1" applyProtection="1">
      <alignment horizontal="center"/>
    </xf>
    <xf numFmtId="1" fontId="1" fillId="0" borderId="0" xfId="0" applyNumberFormat="1"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6" xfId="0" applyFont="1" applyFill="1" applyBorder="1" applyAlignment="1" applyProtection="1">
      <alignment horizontal="center"/>
    </xf>
    <xf numFmtId="0" fontId="26" fillId="0" borderId="7" xfId="0" applyFont="1" applyFill="1" applyBorder="1" applyAlignment="1" applyProtection="1">
      <alignment horizontal="center"/>
    </xf>
    <xf numFmtId="0" fontId="24" fillId="13" borderId="49" xfId="0" applyFont="1" applyFill="1" applyBorder="1" applyAlignment="1" applyProtection="1">
      <alignment horizontal="left" wrapText="1"/>
    </xf>
    <xf numFmtId="0" fontId="24" fillId="13" borderId="50" xfId="0" applyFont="1" applyFill="1" applyBorder="1" applyAlignment="1" applyProtection="1">
      <alignment horizontal="left" wrapText="1"/>
    </xf>
    <xf numFmtId="0" fontId="24" fillId="13" borderId="51" xfId="0" applyFont="1" applyFill="1" applyBorder="1" applyAlignment="1" applyProtection="1">
      <alignment horizontal="left" wrapText="1"/>
    </xf>
    <xf numFmtId="0" fontId="24" fillId="13" borderId="14" xfId="0" applyFont="1" applyFill="1" applyBorder="1" applyAlignment="1" applyProtection="1">
      <alignment horizontal="left" wrapText="1"/>
    </xf>
    <xf numFmtId="0" fontId="24" fillId="13" borderId="0" xfId="0" applyFont="1" applyFill="1" applyBorder="1" applyAlignment="1" applyProtection="1">
      <alignment horizontal="left" wrapText="1"/>
    </xf>
    <xf numFmtId="0" fontId="24" fillId="13" borderId="24" xfId="0" applyFont="1" applyFill="1" applyBorder="1" applyAlignment="1" applyProtection="1">
      <alignment horizontal="left" wrapText="1"/>
    </xf>
    <xf numFmtId="0" fontId="2" fillId="6" borderId="52" xfId="0" applyFont="1" applyFill="1" applyBorder="1" applyAlignment="1" applyProtection="1">
      <alignment horizontal="center"/>
    </xf>
    <xf numFmtId="0" fontId="2" fillId="6" borderId="53" xfId="0" applyFont="1" applyFill="1" applyBorder="1" applyAlignment="1" applyProtection="1">
      <alignment horizontal="center"/>
    </xf>
    <xf numFmtId="169" fontId="24" fillId="13" borderId="50" xfId="0" applyNumberFormat="1" applyFont="1" applyFill="1" applyBorder="1" applyAlignment="1" applyProtection="1">
      <alignment horizontal="center" wrapText="1"/>
    </xf>
    <xf numFmtId="169" fontId="16" fillId="13" borderId="50" xfId="0" applyNumberFormat="1" applyFont="1" applyFill="1" applyBorder="1" applyAlignment="1" applyProtection="1">
      <alignment horizontal="center" wrapText="1"/>
    </xf>
    <xf numFmtId="169" fontId="16" fillId="13" borderId="54" xfId="0" applyNumberFormat="1" applyFont="1" applyFill="1" applyBorder="1" applyAlignment="1" applyProtection="1">
      <alignment horizontal="center" wrapText="1"/>
    </xf>
    <xf numFmtId="169" fontId="16" fillId="13" borderId="0" xfId="0" applyNumberFormat="1" applyFont="1" applyFill="1" applyBorder="1" applyAlignment="1" applyProtection="1">
      <alignment horizontal="center" wrapText="1"/>
    </xf>
    <xf numFmtId="169" fontId="16" fillId="13" borderId="15" xfId="0" applyNumberFormat="1" applyFont="1" applyFill="1" applyBorder="1" applyAlignment="1" applyProtection="1">
      <alignment horizontal="center" wrapText="1"/>
    </xf>
    <xf numFmtId="169" fontId="16" fillId="13" borderId="14" xfId="0" applyNumberFormat="1" applyFont="1" applyFill="1" applyBorder="1" applyAlignment="1" applyProtection="1">
      <alignment horizontal="center" wrapText="1"/>
    </xf>
    <xf numFmtId="169" fontId="16" fillId="13" borderId="55" xfId="0" applyNumberFormat="1" applyFont="1" applyFill="1" applyBorder="1" applyAlignment="1" applyProtection="1">
      <alignment horizontal="center" wrapText="1"/>
    </xf>
    <xf numFmtId="169" fontId="16" fillId="13" borderId="13" xfId="0" applyNumberFormat="1" applyFont="1" applyFill="1" applyBorder="1" applyAlignment="1" applyProtection="1">
      <alignment horizontal="center" wrapText="1"/>
    </xf>
    <xf numFmtId="169" fontId="16" fillId="13" borderId="56" xfId="0" applyNumberFormat="1" applyFont="1" applyFill="1" applyBorder="1" applyAlignment="1" applyProtection="1">
      <alignment horizontal="center" wrapText="1"/>
    </xf>
    <xf numFmtId="0" fontId="2" fillId="6" borderId="49" xfId="0" applyFont="1" applyFill="1" applyBorder="1" applyAlignment="1" applyProtection="1">
      <alignment horizontal="center" wrapText="1"/>
    </xf>
    <xf numFmtId="0" fontId="2" fillId="6" borderId="57" xfId="0" applyFont="1" applyFill="1" applyBorder="1" applyAlignment="1" applyProtection="1">
      <alignment horizontal="center" wrapText="1"/>
    </xf>
    <xf numFmtId="0" fontId="2" fillId="6" borderId="14" xfId="0" applyFont="1" applyFill="1" applyBorder="1" applyAlignment="1" applyProtection="1">
      <alignment horizontal="center" wrapText="1"/>
    </xf>
    <xf numFmtId="0" fontId="2" fillId="6" borderId="39" xfId="0" applyFont="1" applyFill="1" applyBorder="1" applyAlignment="1" applyProtection="1">
      <alignment horizontal="center" wrapText="1"/>
    </xf>
    <xf numFmtId="0" fontId="2" fillId="6" borderId="55" xfId="0" applyFont="1" applyFill="1" applyBorder="1" applyAlignment="1" applyProtection="1">
      <alignment horizontal="center" wrapText="1"/>
    </xf>
    <xf numFmtId="0" fontId="2" fillId="6" borderId="58" xfId="0" applyFont="1" applyFill="1" applyBorder="1" applyAlignment="1" applyProtection="1">
      <alignment horizontal="center" wrapText="1"/>
    </xf>
    <xf numFmtId="0" fontId="2" fillId="6" borderId="59" xfId="0" applyFont="1" applyFill="1" applyBorder="1" applyAlignment="1" applyProtection="1">
      <alignment horizontal="center" wrapText="1"/>
    </xf>
    <xf numFmtId="0" fontId="2" fillId="6" borderId="54" xfId="0" applyFont="1" applyFill="1" applyBorder="1" applyAlignment="1" applyProtection="1">
      <alignment horizontal="center" wrapText="1"/>
    </xf>
    <xf numFmtId="0" fontId="2" fillId="6" borderId="29" xfId="0" applyFont="1" applyFill="1" applyBorder="1" applyAlignment="1" applyProtection="1">
      <alignment horizontal="center" wrapText="1"/>
    </xf>
    <xf numFmtId="0" fontId="2" fillId="6" borderId="15" xfId="0" applyFont="1" applyFill="1" applyBorder="1" applyAlignment="1" applyProtection="1">
      <alignment horizontal="center" wrapText="1"/>
    </xf>
    <xf numFmtId="0" fontId="2" fillId="6" borderId="60" xfId="0" applyFont="1" applyFill="1" applyBorder="1" applyAlignment="1" applyProtection="1">
      <alignment horizontal="center" wrapText="1"/>
    </xf>
    <xf numFmtId="0" fontId="2" fillId="6" borderId="56" xfId="0" applyFont="1" applyFill="1" applyBorder="1" applyAlignment="1" applyProtection="1">
      <alignment horizontal="center" wrapText="1"/>
    </xf>
    <xf numFmtId="0" fontId="1" fillId="0" borderId="0" xfId="0" applyFont="1" applyAlignment="1" applyProtection="1">
      <alignment horizontal="left" vertical="center" wrapText="1"/>
    </xf>
    <xf numFmtId="0" fontId="1" fillId="0" borderId="20" xfId="0" applyFont="1" applyBorder="1" applyAlignment="1" applyProtection="1">
      <alignment horizontal="left" vertical="center" wrapText="1"/>
    </xf>
    <xf numFmtId="2" fontId="1" fillId="6" borderId="32" xfId="0" applyNumberFormat="1" applyFont="1" applyFill="1" applyBorder="1" applyAlignment="1" applyProtection="1">
      <alignment horizontal="right"/>
    </xf>
    <xf numFmtId="0" fontId="37" fillId="9" borderId="10" xfId="0" applyFont="1" applyFill="1" applyBorder="1" applyAlignment="1" applyProtection="1">
      <alignment horizontal="left"/>
    </xf>
    <xf numFmtId="0" fontId="37" fillId="9" borderId="0" xfId="0" applyFont="1" applyFill="1" applyBorder="1" applyAlignment="1" applyProtection="1">
      <alignment horizontal="left"/>
    </xf>
    <xf numFmtId="0" fontId="35" fillId="10" borderId="10" xfId="0" applyFont="1" applyFill="1" applyBorder="1" applyAlignment="1" applyProtection="1">
      <alignment horizontal="left" wrapText="1"/>
    </xf>
    <xf numFmtId="0" fontId="35" fillId="10" borderId="0" xfId="0" applyFont="1" applyFill="1" applyBorder="1" applyAlignment="1" applyProtection="1">
      <alignment horizontal="left" wrapText="1"/>
    </xf>
    <xf numFmtId="1" fontId="1" fillId="5" borderId="0" xfId="0" applyNumberFormat="1" applyFont="1" applyFill="1" applyBorder="1" applyAlignment="1" applyProtection="1">
      <alignment horizontal="right"/>
    </xf>
    <xf numFmtId="168" fontId="1" fillId="5" borderId="0" xfId="0" applyNumberFormat="1" applyFont="1" applyFill="1" applyBorder="1" applyAlignment="1" applyProtection="1">
      <alignment horizontal="right"/>
    </xf>
    <xf numFmtId="0" fontId="1" fillId="6" borderId="0" xfId="0" applyFont="1" applyFill="1" applyBorder="1" applyAlignment="1" applyProtection="1">
      <alignment horizontal="center" wrapText="1"/>
    </xf>
    <xf numFmtId="0" fontId="1" fillId="6" borderId="2" xfId="0" applyFont="1" applyFill="1" applyBorder="1" applyAlignment="1" applyProtection="1">
      <alignment horizontal="center" wrapText="1"/>
    </xf>
    <xf numFmtId="1" fontId="1" fillId="5" borderId="3" xfId="0" applyNumberFormat="1" applyFont="1" applyFill="1" applyBorder="1" applyAlignment="1" applyProtection="1">
      <alignment horizontal="right"/>
    </xf>
    <xf numFmtId="0" fontId="1" fillId="5" borderId="20" xfId="0" applyFont="1" applyFill="1" applyBorder="1" applyAlignment="1" applyProtection="1">
      <alignment horizontal="right"/>
    </xf>
    <xf numFmtId="0" fontId="1" fillId="5" borderId="28" xfId="0" applyFont="1" applyFill="1" applyBorder="1" applyAlignment="1" applyProtection="1">
      <alignment horizontal="right"/>
    </xf>
    <xf numFmtId="168" fontId="21" fillId="5" borderId="20" xfId="0" quotePrefix="1" applyNumberFormat="1" applyFont="1" applyFill="1" applyBorder="1" applyAlignment="1" applyProtection="1">
      <alignment horizontal="center"/>
    </xf>
    <xf numFmtId="168" fontId="21" fillId="5" borderId="28" xfId="0" quotePrefix="1" applyNumberFormat="1" applyFont="1" applyFill="1" applyBorder="1" applyAlignment="1" applyProtection="1">
      <alignment horizontal="center"/>
    </xf>
    <xf numFmtId="170" fontId="21" fillId="5" borderId="0" xfId="0" applyNumberFormat="1" applyFont="1" applyFill="1" applyBorder="1" applyAlignment="1" applyProtection="1">
      <alignment horizontal="right"/>
    </xf>
    <xf numFmtId="0" fontId="1" fillId="6" borderId="47" xfId="0" applyFont="1" applyFill="1" applyBorder="1" applyAlignment="1" applyProtection="1">
      <alignment horizontal="center" wrapText="1"/>
    </xf>
    <xf numFmtId="170" fontId="21" fillId="5" borderId="3" xfId="0" applyNumberFormat="1" applyFont="1" applyFill="1" applyBorder="1" applyAlignment="1" applyProtection="1">
      <alignment horizontal="right"/>
    </xf>
    <xf numFmtId="2" fontId="1" fillId="5" borderId="3" xfId="0" applyNumberFormat="1" applyFont="1" applyFill="1" applyBorder="1" applyAlignment="1" applyProtection="1">
      <alignment horizontal="right"/>
    </xf>
    <xf numFmtId="2" fontId="1" fillId="5" borderId="48" xfId="0" applyNumberFormat="1" applyFont="1" applyFill="1" applyBorder="1" applyAlignment="1" applyProtection="1">
      <alignment horizontal="right"/>
    </xf>
    <xf numFmtId="0" fontId="1" fillId="5" borderId="0" xfId="0" applyFont="1" applyFill="1" applyBorder="1" applyAlignment="1" applyProtection="1">
      <alignment horizontal="right"/>
    </xf>
    <xf numFmtId="0" fontId="1" fillId="5" borderId="24" xfId="0" applyFont="1" applyFill="1" applyBorder="1" applyAlignment="1" applyProtection="1">
      <alignment horizontal="right"/>
    </xf>
    <xf numFmtId="0" fontId="21" fillId="5" borderId="24" xfId="0" applyFont="1" applyFill="1" applyBorder="1" applyAlignment="1" applyProtection="1">
      <alignment horizontal="right"/>
    </xf>
    <xf numFmtId="9" fontId="21" fillId="5" borderId="32" xfId="0" applyNumberFormat="1" applyFont="1" applyFill="1" applyBorder="1" applyAlignment="1" applyProtection="1">
      <alignment horizontal="right"/>
    </xf>
    <xf numFmtId="1" fontId="1" fillId="5" borderId="32" xfId="0" applyNumberFormat="1" applyFont="1" applyFill="1" applyBorder="1" applyAlignment="1" applyProtection="1">
      <alignment horizontal="right"/>
    </xf>
    <xf numFmtId="1" fontId="1" fillId="5" borderId="34" xfId="0" applyNumberFormat="1" applyFont="1" applyFill="1" applyBorder="1" applyAlignment="1" applyProtection="1">
      <alignment horizontal="right"/>
    </xf>
    <xf numFmtId="0" fontId="1" fillId="6" borderId="6" xfId="0" applyFont="1" applyFill="1" applyBorder="1" applyAlignment="1" applyProtection="1">
      <alignment horizontal="center" wrapText="1" shrinkToFit="1"/>
    </xf>
    <xf numFmtId="0" fontId="1" fillId="6" borderId="0" xfId="0" applyFont="1" applyFill="1" applyBorder="1" applyAlignment="1" applyProtection="1">
      <alignment horizontal="center" wrapText="1" shrinkToFit="1"/>
    </xf>
    <xf numFmtId="0" fontId="1" fillId="6" borderId="2" xfId="0" applyFont="1" applyFill="1" applyBorder="1" applyAlignment="1" applyProtection="1">
      <alignment horizontal="center" wrapText="1" shrinkToFit="1"/>
    </xf>
    <xf numFmtId="0" fontId="1" fillId="6" borderId="24" xfId="0" applyFont="1" applyFill="1" applyBorder="1" applyAlignment="1" applyProtection="1">
      <alignment horizontal="center" wrapText="1"/>
    </xf>
    <xf numFmtId="0" fontId="1" fillId="6" borderId="35" xfId="0" applyFont="1" applyFill="1" applyBorder="1" applyAlignment="1" applyProtection="1">
      <alignment horizontal="center"/>
    </xf>
    <xf numFmtId="0" fontId="1" fillId="6" borderId="2" xfId="0" applyFont="1" applyFill="1" applyBorder="1" applyAlignment="1" applyProtection="1">
      <alignment horizontal="center"/>
    </xf>
    <xf numFmtId="0" fontId="37" fillId="11" borderId="10" xfId="0" applyFont="1" applyFill="1" applyBorder="1" applyAlignment="1" applyProtection="1">
      <alignment horizontal="left"/>
    </xf>
    <xf numFmtId="0" fontId="37" fillId="11" borderId="0" xfId="0" applyFont="1" applyFill="1" applyBorder="1" applyAlignment="1" applyProtection="1">
      <alignment horizontal="left"/>
    </xf>
    <xf numFmtId="0" fontId="21" fillId="5" borderId="0" xfId="0" applyFont="1" applyFill="1" applyBorder="1" applyAlignment="1" applyProtection="1">
      <alignment horizontal="center"/>
    </xf>
    <xf numFmtId="0" fontId="21" fillId="5" borderId="24" xfId="0" applyFont="1" applyFill="1" applyBorder="1" applyAlignment="1" applyProtection="1">
      <alignment horizontal="center"/>
    </xf>
    <xf numFmtId="1" fontId="1" fillId="5" borderId="20" xfId="0" applyNumberFormat="1" applyFont="1" applyFill="1" applyBorder="1" applyAlignment="1" applyProtection="1">
      <alignment horizontal="center"/>
    </xf>
    <xf numFmtId="1" fontId="1" fillId="5" borderId="20" xfId="0" applyNumberFormat="1" applyFont="1" applyFill="1" applyBorder="1" applyAlignment="1" applyProtection="1">
      <alignment horizontal="right"/>
    </xf>
    <xf numFmtId="1" fontId="1" fillId="6" borderId="0" xfId="0" applyNumberFormat="1" applyFont="1" applyFill="1" applyBorder="1" applyAlignment="1" applyProtection="1">
      <alignment horizontal="center" wrapText="1"/>
    </xf>
    <xf numFmtId="1" fontId="1" fillId="6" borderId="2" xfId="0" applyNumberFormat="1" applyFont="1" applyFill="1" applyBorder="1" applyAlignment="1" applyProtection="1">
      <alignment horizontal="center" wrapText="1"/>
    </xf>
    <xf numFmtId="1" fontId="1" fillId="5" borderId="3" xfId="0" applyNumberFormat="1" applyFont="1" applyFill="1" applyBorder="1" applyAlignment="1" applyProtection="1">
      <alignment horizontal="center"/>
    </xf>
    <xf numFmtId="1" fontId="1" fillId="5" borderId="0" xfId="0" applyNumberFormat="1" applyFont="1" applyFill="1" applyBorder="1" applyAlignment="1" applyProtection="1">
      <alignment horizontal="center"/>
    </xf>
    <xf numFmtId="0" fontId="21" fillId="5" borderId="20" xfId="0" applyFont="1" applyFill="1" applyBorder="1" applyAlignment="1" applyProtection="1">
      <alignment horizontal="center"/>
    </xf>
    <xf numFmtId="0" fontId="21" fillId="5" borderId="28" xfId="0" applyFont="1" applyFill="1" applyBorder="1" applyAlignment="1" applyProtection="1">
      <alignment horizontal="center"/>
    </xf>
    <xf numFmtId="0" fontId="21" fillId="5" borderId="20" xfId="0" applyFont="1" applyFill="1" applyBorder="1" applyAlignment="1" applyProtection="1">
      <alignment horizontal="right"/>
    </xf>
    <xf numFmtId="0" fontId="21" fillId="5" borderId="28" xfId="0" applyFont="1" applyFill="1" applyBorder="1" applyAlignment="1" applyProtection="1">
      <alignment horizontal="right"/>
    </xf>
    <xf numFmtId="0" fontId="21" fillId="5" borderId="3" xfId="0" applyFont="1" applyFill="1" applyBorder="1" applyAlignment="1" applyProtection="1">
      <alignment horizontal="center"/>
    </xf>
    <xf numFmtId="0" fontId="21" fillId="5" borderId="48" xfId="0" applyFont="1" applyFill="1" applyBorder="1" applyAlignment="1" applyProtection="1">
      <alignment horizontal="center"/>
    </xf>
    <xf numFmtId="0" fontId="2" fillId="6" borderId="17" xfId="0" applyFont="1" applyFill="1" applyBorder="1" applyAlignment="1" applyProtection="1">
      <alignment horizontal="center" wrapText="1"/>
    </xf>
    <xf numFmtId="0" fontId="2" fillId="6" borderId="62" xfId="0" applyFont="1" applyFill="1" applyBorder="1" applyAlignment="1" applyProtection="1">
      <alignment horizontal="center" wrapText="1"/>
    </xf>
    <xf numFmtId="0" fontId="1" fillId="6" borderId="5" xfId="0" applyFont="1" applyFill="1" applyBorder="1" applyAlignment="1" applyProtection="1">
      <alignment horizontal="left" wrapText="1"/>
    </xf>
    <xf numFmtId="0" fontId="1" fillId="6" borderId="6" xfId="0" applyFont="1" applyFill="1" applyBorder="1" applyAlignment="1" applyProtection="1">
      <alignment horizontal="left" wrapText="1"/>
    </xf>
    <xf numFmtId="0" fontId="1" fillId="6" borderId="19" xfId="0" applyFont="1" applyFill="1" applyBorder="1" applyAlignment="1" applyProtection="1">
      <alignment horizontal="left" wrapText="1"/>
    </xf>
    <xf numFmtId="0" fontId="1" fillId="6" borderId="20" xfId="0" applyFont="1" applyFill="1" applyBorder="1" applyAlignment="1" applyProtection="1">
      <alignment horizontal="left" wrapText="1"/>
    </xf>
    <xf numFmtId="0" fontId="21" fillId="5" borderId="3" xfId="0" applyFont="1" applyFill="1" applyBorder="1" applyAlignment="1" applyProtection="1">
      <alignment horizontal="right"/>
    </xf>
    <xf numFmtId="0" fontId="21" fillId="5" borderId="48" xfId="0" applyFont="1" applyFill="1" applyBorder="1" applyAlignment="1" applyProtection="1">
      <alignment horizontal="right"/>
    </xf>
    <xf numFmtId="0" fontId="37" fillId="2" borderId="19" xfId="0" applyFont="1" applyFill="1" applyBorder="1" applyAlignment="1" applyProtection="1">
      <alignment horizontal="left" wrapText="1"/>
    </xf>
    <xf numFmtId="0" fontId="37" fillId="2" borderId="20" xfId="0" applyFont="1" applyFill="1" applyBorder="1" applyAlignment="1" applyProtection="1">
      <alignment horizontal="left" wrapText="1"/>
    </xf>
    <xf numFmtId="170" fontId="21" fillId="5" borderId="20" xfId="0" applyNumberFormat="1" applyFont="1" applyFill="1" applyBorder="1" applyAlignment="1" applyProtection="1">
      <alignment horizontal="right"/>
    </xf>
    <xf numFmtId="10" fontId="21" fillId="5" borderId="0" xfId="0" applyNumberFormat="1" applyFont="1" applyFill="1" applyBorder="1" applyAlignment="1" applyProtection="1">
      <alignment horizontal="right"/>
    </xf>
    <xf numFmtId="2" fontId="1" fillId="6" borderId="61" xfId="0" applyNumberFormat="1" applyFont="1" applyFill="1" applyBorder="1" applyAlignment="1" applyProtection="1">
      <alignment horizontal="right"/>
    </xf>
    <xf numFmtId="0" fontId="0" fillId="0" borderId="7" xfId="0"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37" fillId="9" borderId="10" xfId="0" applyFont="1" applyFill="1" applyBorder="1" applyAlignment="1" applyProtection="1">
      <alignment horizontal="left" wrapText="1"/>
    </xf>
    <xf numFmtId="0" fontId="37" fillId="9" borderId="0" xfId="0" applyFont="1" applyFill="1" applyBorder="1" applyAlignment="1" applyProtection="1">
      <alignment horizontal="left" wrapText="1"/>
    </xf>
    <xf numFmtId="0" fontId="37" fillId="11" borderId="10" xfId="0" applyFont="1" applyFill="1" applyBorder="1" applyAlignment="1" applyProtection="1">
      <alignment horizontal="left" wrapText="1"/>
    </xf>
    <xf numFmtId="0" fontId="37" fillId="11" borderId="0" xfId="0" applyFont="1" applyFill="1" applyBorder="1" applyAlignment="1" applyProtection="1">
      <alignment horizontal="left" wrapText="1"/>
    </xf>
    <xf numFmtId="0" fontId="2" fillId="0" borderId="5" xfId="4" applyFont="1" applyBorder="1" applyAlignment="1">
      <alignment horizontal="center"/>
    </xf>
    <xf numFmtId="0" fontId="2" fillId="0" borderId="6" xfId="4" applyFont="1" applyBorder="1" applyAlignment="1">
      <alignment horizontal="center"/>
    </xf>
    <xf numFmtId="0" fontId="0" fillId="0" borderId="43"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8" fillId="0" borderId="0" xfId="4" applyFont="1" applyAlignment="1">
      <alignment horizontal="center"/>
    </xf>
    <xf numFmtId="0" fontId="9" fillId="0" borderId="0" xfId="7" applyFont="1" applyAlignment="1">
      <alignment horizontal="center"/>
    </xf>
    <xf numFmtId="0" fontId="0" fillId="0" borderId="0" xfId="0" applyAlignment="1">
      <alignment wrapText="1"/>
    </xf>
    <xf numFmtId="0" fontId="2" fillId="0" borderId="0" xfId="0" applyFont="1" applyFill="1" applyBorder="1" applyAlignment="1">
      <alignment horizontal="center"/>
    </xf>
    <xf numFmtId="0" fontId="8" fillId="0" borderId="0" xfId="3" applyFont="1" applyAlignment="1">
      <alignment horizontal="center"/>
    </xf>
    <xf numFmtId="0" fontId="9" fillId="0" borderId="0" xfId="0" applyFont="1" applyAlignment="1">
      <alignment horizontal="center"/>
    </xf>
    <xf numFmtId="0" fontId="10" fillId="0" borderId="0" xfId="7" applyAlignment="1">
      <alignment horizontal="center"/>
    </xf>
    <xf numFmtId="0" fontId="10" fillId="0" borderId="0" xfId="7" applyAlignment="1"/>
  </cellXfs>
  <cellStyles count="8">
    <cellStyle name="Currency" xfId="1" builtinId="4"/>
    <cellStyle name="Normal" xfId="0" builtinId="0"/>
    <cellStyle name="Normal_cost0627_b.xls" xfId="2"/>
    <cellStyle name="Normal_foodconsavg0627_b.xls" xfId="3"/>
    <cellStyle name="Normal_foodconsavg0627_b.xls_underlying" xfId="4"/>
    <cellStyle name="Normal_nutricont0718_b.xls" xfId="5"/>
    <cellStyle name="Normal_RSLTTFP0720F_b.xls" xfId="6"/>
    <cellStyle name="Normal_underlying"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14</xdr:col>
      <xdr:colOff>238125</xdr:colOff>
      <xdr:row>61</xdr:row>
      <xdr:rowOff>95250</xdr:rowOff>
    </xdr:to>
    <xdr:pic>
      <xdr:nvPicPr>
        <xdr:cNvPr id="1333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10906125" cy="948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61</xdr:row>
      <xdr:rowOff>0</xdr:rowOff>
    </xdr:from>
    <xdr:to>
      <xdr:col>14</xdr:col>
      <xdr:colOff>238125</xdr:colOff>
      <xdr:row>116</xdr:row>
      <xdr:rowOff>38100</xdr:rowOff>
    </xdr:to>
    <xdr:pic>
      <xdr:nvPicPr>
        <xdr:cNvPr id="13334"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82200"/>
          <a:ext cx="10906125" cy="897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pageSetUpPr fitToPage="1"/>
  </sheetPr>
  <dimension ref="A1:W107"/>
  <sheetViews>
    <sheetView tabSelected="1" topLeftCell="A16" zoomScaleNormal="100" zoomScaleSheetLayoutView="100" workbookViewId="0">
      <selection activeCell="Q53" sqref="Q53"/>
    </sheetView>
  </sheetViews>
  <sheetFormatPr defaultColWidth="8.85546875" defaultRowHeight="12.75" x14ac:dyDescent="0.2"/>
  <cols>
    <col min="1" max="1" width="2.85546875" customWidth="1"/>
    <col min="2" max="2" width="1.140625" customWidth="1"/>
    <col min="3" max="3" width="28.7109375" customWidth="1"/>
    <col min="4" max="4" width="1.7109375" customWidth="1"/>
    <col min="5" max="5" width="10" customWidth="1"/>
    <col min="6" max="6" width="1.7109375" customWidth="1"/>
    <col min="7" max="7" width="7" customWidth="1"/>
    <col min="8" max="8" width="2.42578125" customWidth="1"/>
    <col min="9" max="9" width="8.28515625" customWidth="1"/>
    <col min="10" max="10" width="1.7109375" customWidth="1"/>
    <col min="11" max="11" width="6.7109375" customWidth="1"/>
    <col min="12" max="12" width="1.85546875" customWidth="1"/>
    <col min="13" max="13" width="23.7109375" customWidth="1"/>
    <col min="14" max="14" width="0.42578125" customWidth="1"/>
    <col min="15" max="15" width="6.85546875" customWidth="1"/>
    <col min="16" max="16" width="1" customWidth="1"/>
    <col min="17" max="17" width="9.42578125" customWidth="1"/>
    <col min="18" max="18" width="3.85546875" customWidth="1"/>
    <col min="19" max="19" width="7.7109375" customWidth="1"/>
    <col min="20" max="20" width="8.140625" customWidth="1"/>
    <col min="21" max="21" width="6.42578125" customWidth="1"/>
  </cols>
  <sheetData>
    <row r="1" spans="1:21" ht="18" x14ac:dyDescent="0.25">
      <c r="A1" s="378" t="s">
        <v>648</v>
      </c>
      <c r="B1" s="379"/>
      <c r="C1" s="379"/>
      <c r="D1" s="379"/>
      <c r="E1" s="379"/>
      <c r="F1" s="379"/>
      <c r="G1" s="379"/>
      <c r="H1" s="379"/>
      <c r="I1" s="379"/>
      <c r="J1" s="379"/>
      <c r="K1" s="379"/>
      <c r="L1" s="379"/>
      <c r="M1" s="379"/>
      <c r="N1" s="379"/>
      <c r="O1" s="379"/>
      <c r="P1" s="379"/>
      <c r="Q1" s="379"/>
      <c r="R1" s="379"/>
      <c r="S1" s="379"/>
      <c r="T1" s="379"/>
      <c r="U1" s="380"/>
    </row>
    <row r="2" spans="1:21" ht="18.75" customHeight="1" x14ac:dyDescent="0.2">
      <c r="A2" s="360" t="s">
        <v>649</v>
      </c>
      <c r="B2" s="361"/>
      <c r="C2" s="361"/>
      <c r="D2" s="361"/>
      <c r="E2" s="361"/>
      <c r="F2" s="361"/>
      <c r="G2" s="361"/>
      <c r="H2" s="361"/>
      <c r="I2" s="361"/>
      <c r="J2" s="361"/>
      <c r="K2" s="361"/>
      <c r="L2" s="361"/>
      <c r="M2" s="361"/>
      <c r="N2" s="361"/>
      <c r="O2" s="361"/>
      <c r="P2" s="361"/>
      <c r="Q2" s="361"/>
      <c r="R2" s="361"/>
      <c r="S2" s="361"/>
      <c r="T2" s="361"/>
      <c r="U2" s="362"/>
    </row>
    <row r="3" spans="1:21" ht="44.25" customHeight="1" x14ac:dyDescent="0.2">
      <c r="A3" s="363" t="s">
        <v>650</v>
      </c>
      <c r="B3" s="364"/>
      <c r="C3" s="364"/>
      <c r="D3" s="364"/>
      <c r="E3" s="364"/>
      <c r="F3" s="364"/>
      <c r="G3" s="364"/>
      <c r="H3" s="364"/>
      <c r="I3" s="364"/>
      <c r="J3" s="364"/>
      <c r="K3" s="364"/>
      <c r="L3" s="364"/>
      <c r="M3" s="364"/>
      <c r="N3" s="364"/>
      <c r="O3" s="364"/>
      <c r="P3" s="364"/>
      <c r="Q3" s="364"/>
      <c r="R3" s="364"/>
      <c r="S3" s="364"/>
      <c r="T3" s="364"/>
      <c r="U3" s="365"/>
    </row>
    <row r="4" spans="1:21" s="310" customFormat="1" ht="36" customHeight="1" x14ac:dyDescent="0.2">
      <c r="A4" s="297"/>
      <c r="B4" s="374" t="s">
        <v>43</v>
      </c>
      <c r="C4" s="375"/>
      <c r="D4" s="373" t="s">
        <v>205</v>
      </c>
      <c r="E4" s="373"/>
      <c r="F4" s="373"/>
      <c r="G4" s="373"/>
      <c r="H4" s="373"/>
      <c r="I4" s="373"/>
      <c r="J4" s="373"/>
      <c r="K4" s="373"/>
      <c r="L4" s="373"/>
      <c r="M4" s="373"/>
      <c r="N4" s="373"/>
      <c r="O4" s="373"/>
      <c r="P4" s="373"/>
      <c r="Q4" s="373"/>
      <c r="R4" s="373"/>
      <c r="S4" s="373"/>
      <c r="T4" s="373"/>
      <c r="U4" s="313"/>
    </row>
    <row r="5" spans="1:21" s="310" customFormat="1" ht="12" customHeight="1" x14ac:dyDescent="0.2">
      <c r="A5" s="368"/>
      <c r="B5" s="369"/>
      <c r="C5" s="369"/>
      <c r="D5" s="369"/>
      <c r="E5" s="369"/>
      <c r="F5" s="369"/>
      <c r="G5" s="369"/>
      <c r="H5" s="369"/>
      <c r="I5" s="369"/>
      <c r="J5" s="369"/>
      <c r="K5" s="369"/>
      <c r="L5" s="369"/>
      <c r="M5" s="369"/>
      <c r="N5" s="369"/>
      <c r="O5" s="369"/>
      <c r="P5" s="369"/>
      <c r="Q5" s="369"/>
      <c r="R5" s="369"/>
      <c r="S5" s="369"/>
      <c r="T5" s="369"/>
      <c r="U5" s="370"/>
    </row>
    <row r="6" spans="1:21" s="310" customFormat="1" ht="36" customHeight="1" x14ac:dyDescent="0.2">
      <c r="A6" s="297"/>
      <c r="B6" s="374" t="s">
        <v>304</v>
      </c>
      <c r="C6" s="375"/>
      <c r="D6" s="373" t="s">
        <v>162</v>
      </c>
      <c r="E6" s="373"/>
      <c r="F6" s="373"/>
      <c r="G6" s="373"/>
      <c r="H6" s="373"/>
      <c r="I6" s="373"/>
      <c r="J6" s="373"/>
      <c r="K6" s="373"/>
      <c r="L6" s="373"/>
      <c r="M6" s="373"/>
      <c r="N6" s="373"/>
      <c r="O6" s="373"/>
      <c r="P6" s="373"/>
      <c r="Q6" s="373"/>
      <c r="R6" s="373"/>
      <c r="S6" s="373"/>
      <c r="T6" s="373"/>
      <c r="U6" s="313"/>
    </row>
    <row r="7" spans="1:21" ht="11.1" customHeight="1" x14ac:dyDescent="0.2">
      <c r="A7" s="368"/>
      <c r="B7" s="371"/>
      <c r="C7" s="371"/>
      <c r="D7" s="371"/>
      <c r="E7" s="371"/>
      <c r="F7" s="371"/>
      <c r="G7" s="371"/>
      <c r="H7" s="371"/>
      <c r="I7" s="371"/>
      <c r="J7" s="371"/>
      <c r="K7" s="371"/>
      <c r="L7" s="371"/>
      <c r="M7" s="371"/>
      <c r="N7" s="371"/>
      <c r="O7" s="371"/>
      <c r="P7" s="371"/>
      <c r="Q7" s="371"/>
      <c r="R7" s="371"/>
      <c r="S7" s="371"/>
      <c r="T7" s="371"/>
      <c r="U7" s="372"/>
    </row>
    <row r="8" spans="1:21" ht="94.5" customHeight="1" x14ac:dyDescent="0.2">
      <c r="A8" s="363" t="s">
        <v>382</v>
      </c>
      <c r="B8" s="364"/>
      <c r="C8" s="364"/>
      <c r="D8" s="364"/>
      <c r="E8" s="364"/>
      <c r="F8" s="364"/>
      <c r="G8" s="364"/>
      <c r="H8" s="364"/>
      <c r="I8" s="364"/>
      <c r="J8" s="364"/>
      <c r="K8" s="364"/>
      <c r="L8" s="364"/>
      <c r="M8" s="364"/>
      <c r="N8" s="364"/>
      <c r="O8" s="364"/>
      <c r="P8" s="364"/>
      <c r="Q8" s="364"/>
      <c r="R8" s="364"/>
      <c r="S8" s="364"/>
      <c r="T8" s="364"/>
      <c r="U8" s="365"/>
    </row>
    <row r="9" spans="1:21" ht="56.25" customHeight="1" thickBot="1" x14ac:dyDescent="0.25">
      <c r="A9" s="366" t="s">
        <v>647</v>
      </c>
      <c r="B9" s="366"/>
      <c r="C9" s="366"/>
      <c r="D9" s="366"/>
      <c r="E9" s="366"/>
      <c r="F9" s="366"/>
      <c r="G9" s="366"/>
      <c r="H9" s="366"/>
      <c r="I9" s="366"/>
      <c r="J9" s="366"/>
      <c r="K9" s="366"/>
      <c r="L9" s="366"/>
      <c r="M9" s="366"/>
      <c r="N9" s="366"/>
      <c r="O9" s="366"/>
      <c r="P9" s="366"/>
      <c r="Q9" s="366"/>
      <c r="R9" s="366"/>
      <c r="S9" s="366"/>
      <c r="T9" s="366"/>
      <c r="U9" s="367"/>
    </row>
    <row r="10" spans="1:21" ht="10.5" customHeight="1" x14ac:dyDescent="0.2">
      <c r="A10" s="115"/>
      <c r="B10" s="115"/>
      <c r="C10" s="116"/>
      <c r="D10" s="116"/>
      <c r="E10" s="116"/>
      <c r="F10" s="115"/>
      <c r="G10" s="115"/>
      <c r="H10" s="115"/>
      <c r="I10" s="115"/>
      <c r="J10" s="117"/>
      <c r="K10" s="117"/>
      <c r="L10" s="116"/>
      <c r="M10" s="116"/>
      <c r="N10" s="115"/>
      <c r="O10" s="115"/>
      <c r="P10" s="115"/>
      <c r="Q10" s="115"/>
      <c r="R10" s="115"/>
      <c r="S10" s="115"/>
      <c r="T10" s="115"/>
      <c r="U10" s="115"/>
    </row>
    <row r="11" spans="1:21" ht="15.75" thickBot="1" x14ac:dyDescent="0.25">
      <c r="A11" s="122" t="s">
        <v>549</v>
      </c>
      <c r="B11" s="123"/>
      <c r="C11" s="124"/>
      <c r="D11" s="123"/>
      <c r="E11" s="123"/>
      <c r="F11" s="123"/>
      <c r="G11" s="123"/>
      <c r="H11" s="123"/>
      <c r="I11" s="123"/>
      <c r="J11" s="123"/>
      <c r="K11" s="123"/>
      <c r="L11" s="123"/>
      <c r="M11" s="125" t="s">
        <v>538</v>
      </c>
      <c r="N11" s="123"/>
      <c r="O11" s="123" t="s">
        <v>289</v>
      </c>
      <c r="P11" s="123"/>
      <c r="Q11" s="123"/>
      <c r="R11" s="123"/>
      <c r="S11" s="123"/>
      <c r="T11" s="123"/>
      <c r="U11" s="123"/>
    </row>
    <row r="12" spans="1:21" ht="12.75" customHeight="1" thickTop="1" x14ac:dyDescent="0.2">
      <c r="A12" s="381" t="s">
        <v>4</v>
      </c>
      <c r="B12" s="382"/>
      <c r="C12" s="383"/>
      <c r="D12" s="389" t="s">
        <v>64</v>
      </c>
      <c r="E12" s="390"/>
      <c r="F12" s="391"/>
      <c r="G12" s="398" t="s">
        <v>537</v>
      </c>
      <c r="H12" s="399"/>
      <c r="I12" s="237"/>
      <c r="J12" s="404" t="s">
        <v>536</v>
      </c>
      <c r="K12" s="405"/>
      <c r="L12" s="123"/>
      <c r="M12" s="128" t="s">
        <v>186</v>
      </c>
      <c r="N12" s="123"/>
      <c r="O12" s="212"/>
      <c r="P12" s="340" t="s">
        <v>539</v>
      </c>
      <c r="Q12" s="340"/>
      <c r="R12" s="340" t="s">
        <v>123</v>
      </c>
      <c r="S12" s="340"/>
      <c r="T12" s="340" t="s">
        <v>249</v>
      </c>
      <c r="U12" s="342"/>
    </row>
    <row r="13" spans="1:21" ht="15.75" customHeight="1" thickBot="1" x14ac:dyDescent="0.25">
      <c r="A13" s="384"/>
      <c r="B13" s="385"/>
      <c r="C13" s="386"/>
      <c r="D13" s="392"/>
      <c r="E13" s="392"/>
      <c r="F13" s="393"/>
      <c r="G13" s="400"/>
      <c r="H13" s="401"/>
      <c r="I13" s="238"/>
      <c r="J13" s="406"/>
      <c r="K13" s="407"/>
      <c r="L13" s="123"/>
      <c r="M13" s="239"/>
      <c r="N13" s="123"/>
      <c r="O13" s="213"/>
      <c r="P13" s="341"/>
      <c r="Q13" s="341"/>
      <c r="R13" s="341"/>
      <c r="S13" s="341"/>
      <c r="T13" s="341"/>
      <c r="U13" s="343"/>
    </row>
    <row r="14" spans="1:21" ht="12.75" customHeight="1" thickBot="1" x14ac:dyDescent="0.25">
      <c r="A14" s="149"/>
      <c r="B14" s="207" t="s">
        <v>404</v>
      </c>
      <c r="C14" s="150" t="s">
        <v>655</v>
      </c>
      <c r="D14" s="392"/>
      <c r="E14" s="392"/>
      <c r="F14" s="393"/>
      <c r="G14" s="400"/>
      <c r="H14" s="401"/>
      <c r="I14" s="459" t="s">
        <v>623</v>
      </c>
      <c r="J14" s="406"/>
      <c r="K14" s="407"/>
      <c r="L14" s="123"/>
      <c r="M14" s="461" t="s">
        <v>139</v>
      </c>
      <c r="N14" s="462"/>
      <c r="O14" s="462"/>
      <c r="P14" s="208"/>
      <c r="Q14" s="209"/>
      <c r="R14" s="209"/>
      <c r="S14" s="210"/>
      <c r="T14" s="210"/>
      <c r="U14" s="211"/>
    </row>
    <row r="15" spans="1:21" ht="12.75" customHeight="1" thickTop="1" thickBot="1" x14ac:dyDescent="0.25">
      <c r="A15" s="240"/>
      <c r="B15" s="240"/>
      <c r="C15" s="126"/>
      <c r="D15" s="394"/>
      <c r="E15" s="392"/>
      <c r="F15" s="393"/>
      <c r="G15" s="400"/>
      <c r="H15" s="401"/>
      <c r="I15" s="459"/>
      <c r="J15" s="406"/>
      <c r="K15" s="407"/>
      <c r="L15" s="123"/>
      <c r="M15" s="463"/>
      <c r="N15" s="464"/>
      <c r="O15" s="464"/>
      <c r="P15" s="346">
        <f>calculations!$B$64</f>
        <v>167.19999999999985</v>
      </c>
      <c r="Q15" s="346"/>
      <c r="R15" s="347">
        <f>calculations!$B$67</f>
        <v>0.99999999999999911</v>
      </c>
      <c r="S15" s="347"/>
      <c r="T15" s="344">
        <f>calculations!$B$65</f>
        <v>167.2</v>
      </c>
      <c r="U15" s="345"/>
    </row>
    <row r="16" spans="1:21" ht="15.75" customHeight="1" thickTop="1" thickBot="1" x14ac:dyDescent="0.25">
      <c r="A16" s="387" t="s">
        <v>356</v>
      </c>
      <c r="B16" s="388"/>
      <c r="C16" s="388"/>
      <c r="D16" s="395"/>
      <c r="E16" s="396"/>
      <c r="F16" s="397"/>
      <c r="G16" s="402"/>
      <c r="H16" s="403"/>
      <c r="I16" s="460"/>
      <c r="J16" s="408"/>
      <c r="K16" s="409"/>
      <c r="L16" s="123"/>
      <c r="M16" s="162"/>
      <c r="N16" s="163"/>
      <c r="O16" s="164"/>
      <c r="P16" s="165"/>
      <c r="Q16" s="166"/>
      <c r="R16" s="166"/>
      <c r="S16" s="166"/>
      <c r="T16" s="166"/>
      <c r="U16" s="166"/>
    </row>
    <row r="17" spans="1:21" ht="12.75" customHeight="1" thickTop="1" x14ac:dyDescent="0.2">
      <c r="A17" s="285">
        <v>1</v>
      </c>
      <c r="B17" s="284"/>
      <c r="C17" s="284" t="s">
        <v>577</v>
      </c>
      <c r="D17" s="118"/>
      <c r="E17" s="114">
        <f>HLOOKUP($C$14,'Model results and default value'!$U$5:$AK$65,'Model results and default value'!$A6,FALSE)</f>
        <v>7.3074287832099729E-3</v>
      </c>
      <c r="F17" s="119"/>
      <c r="G17" s="241">
        <f t="shared" ref="G17:G74" si="0">(E17/$E$75)</f>
        <v>4.3704717602930502E-5</v>
      </c>
      <c r="H17" s="242"/>
      <c r="I17" s="129">
        <f>calculations!I6</f>
        <v>0.10090235163705034</v>
      </c>
      <c r="J17" s="243"/>
      <c r="K17" s="244">
        <f t="shared" ref="K17:K48" si="1">(I17/$I$75)</f>
        <v>4.3900172567186726E-5</v>
      </c>
      <c r="L17" s="123"/>
      <c r="M17" s="167" t="s">
        <v>187</v>
      </c>
      <c r="N17" s="163"/>
      <c r="O17" s="164"/>
      <c r="P17" s="348" t="s">
        <v>208</v>
      </c>
      <c r="Q17" s="349"/>
      <c r="R17" s="354" t="s">
        <v>250</v>
      </c>
      <c r="S17" s="349"/>
      <c r="T17" s="340" t="s">
        <v>209</v>
      </c>
      <c r="U17" s="472"/>
    </row>
    <row r="18" spans="1:21" ht="12" customHeight="1" x14ac:dyDescent="0.2">
      <c r="A18" s="285">
        <v>2</v>
      </c>
      <c r="B18" s="284"/>
      <c r="C18" s="284" t="s">
        <v>316</v>
      </c>
      <c r="D18" s="118"/>
      <c r="E18" s="114">
        <f>HLOOKUP($C$14,'Model results and default value'!$U$5:$AK$65,'Model results and default value'!$A7,FALSE)</f>
        <v>25.407306103402416</v>
      </c>
      <c r="F18" s="119"/>
      <c r="G18" s="241">
        <f t="shared" si="0"/>
        <v>0.15195757238877056</v>
      </c>
      <c r="H18" s="245"/>
      <c r="I18" s="129">
        <f>calculations!I7</f>
        <v>341.11461273773608</v>
      </c>
      <c r="J18" s="246"/>
      <c r="K18" s="244">
        <f t="shared" si="1"/>
        <v>0.14841071710837131</v>
      </c>
      <c r="L18" s="123"/>
      <c r="M18" s="167"/>
      <c r="N18" s="163"/>
      <c r="O18" s="164"/>
      <c r="P18" s="350"/>
      <c r="Q18" s="351"/>
      <c r="R18" s="351"/>
      <c r="S18" s="351"/>
      <c r="T18" s="351"/>
      <c r="U18" s="473"/>
    </row>
    <row r="19" spans="1:21" ht="12.75" customHeight="1" thickBot="1" x14ac:dyDescent="0.25">
      <c r="A19" s="285">
        <v>3</v>
      </c>
      <c r="B19" s="284"/>
      <c r="C19" s="284" t="s">
        <v>29</v>
      </c>
      <c r="D19" s="118"/>
      <c r="E19" s="114">
        <f>HLOOKUP($C$14,'Model results and default value'!$U$5:$AK$65,'Model results and default value'!$A8,FALSE)</f>
        <v>8.7080254709013209E-3</v>
      </c>
      <c r="F19" s="119"/>
      <c r="G19" s="241">
        <f t="shared" si="0"/>
        <v>5.2081492050845271E-5</v>
      </c>
      <c r="H19" s="245"/>
      <c r="I19" s="129">
        <f>calculations!I8</f>
        <v>9.4656332131959689E-2</v>
      </c>
      <c r="J19" s="246"/>
      <c r="K19" s="244">
        <f t="shared" si="1"/>
        <v>4.1182680559489954E-5</v>
      </c>
      <c r="L19" s="123"/>
      <c r="M19" s="168"/>
      <c r="N19" s="168"/>
      <c r="O19" s="168"/>
      <c r="P19" s="352"/>
      <c r="Q19" s="353"/>
      <c r="R19" s="353"/>
      <c r="S19" s="353"/>
      <c r="T19" s="353"/>
      <c r="U19" s="474"/>
    </row>
    <row r="20" spans="1:21" ht="12.75" customHeight="1" x14ac:dyDescent="0.2">
      <c r="A20" s="285">
        <v>4</v>
      </c>
      <c r="B20" s="284"/>
      <c r="C20" s="284" t="s">
        <v>36</v>
      </c>
      <c r="D20" s="118"/>
      <c r="E20" s="114">
        <f>HLOOKUP($C$14,'Model results and default value'!$U$5:$AK$65,'Model results and default value'!$A9,FALSE)</f>
        <v>5.3869729304791107E-3</v>
      </c>
      <c r="F20" s="119"/>
      <c r="G20" s="241">
        <f t="shared" si="0"/>
        <v>3.2218737622482749E-5</v>
      </c>
      <c r="H20" s="245"/>
      <c r="I20" s="129">
        <f>calculations!I9</f>
        <v>6.1052407997159615E-2</v>
      </c>
      <c r="J20" s="246"/>
      <c r="K20" s="244">
        <f t="shared" si="1"/>
        <v>2.6562425981491703E-5</v>
      </c>
      <c r="L20" s="123"/>
      <c r="M20" s="355" t="s">
        <v>94</v>
      </c>
      <c r="N20" s="356"/>
      <c r="O20" s="356"/>
      <c r="P20" s="338">
        <f>SUM($E17:$E21)</f>
        <v>25.431085733112994</v>
      </c>
      <c r="Q20" s="338"/>
      <c r="R20" s="357">
        <f t="shared" ref="R20:R28" si="2">P20/$P$15</f>
        <v>0.15209979505450369</v>
      </c>
      <c r="S20" s="357"/>
      <c r="T20" s="358">
        <f>calculations!AL64</f>
        <v>3.1499999999999813</v>
      </c>
      <c r="U20" s="359"/>
    </row>
    <row r="21" spans="1:21" ht="12.75" customHeight="1" x14ac:dyDescent="0.2">
      <c r="A21" s="285">
        <v>5</v>
      </c>
      <c r="B21" s="284"/>
      <c r="C21" s="284" t="s">
        <v>37</v>
      </c>
      <c r="D21" s="118"/>
      <c r="E21" s="114">
        <f>HLOOKUP($C$14,'Model results and default value'!$U$5:$AK$65,'Model results and default value'!$A10,FALSE)</f>
        <v>2.3772025259851627E-3</v>
      </c>
      <c r="F21" s="119"/>
      <c r="G21" s="241">
        <f t="shared" si="0"/>
        <v>1.4217718456849072E-5</v>
      </c>
      <c r="H21" s="245"/>
      <c r="I21" s="129">
        <f>calculations!I10</f>
        <v>2.5973398577949856E-2</v>
      </c>
      <c r="J21" s="246"/>
      <c r="K21" s="244">
        <f t="shared" si="1"/>
        <v>1.1300397475668321E-5</v>
      </c>
      <c r="L21" s="123"/>
      <c r="M21" s="288" t="s">
        <v>95</v>
      </c>
      <c r="N21" s="289"/>
      <c r="O21" s="290"/>
      <c r="P21" s="338">
        <f>SUM($E22:$E40)</f>
        <v>41.44980991910468</v>
      </c>
      <c r="Q21" s="338"/>
      <c r="R21" s="357">
        <f t="shared" si="2"/>
        <v>0.24790556171713349</v>
      </c>
      <c r="S21" s="357"/>
      <c r="T21" s="358">
        <f>calculations!AM64</f>
        <v>6.2969291158767682</v>
      </c>
      <c r="U21" s="359"/>
    </row>
    <row r="22" spans="1:21" x14ac:dyDescent="0.2">
      <c r="A22" s="286">
        <v>6</v>
      </c>
      <c r="B22" s="287"/>
      <c r="C22" s="287" t="s">
        <v>637</v>
      </c>
      <c r="D22" s="118"/>
      <c r="E22" s="114">
        <f>HLOOKUP($C$14,'Model results and default value'!$U$5:$AK$65,'Model results and default value'!$A11,FALSE)</f>
        <v>5.2525790694223319E-3</v>
      </c>
      <c r="F22" s="119"/>
      <c r="G22" s="241">
        <f t="shared" si="0"/>
        <v>3.1414946587454167E-5</v>
      </c>
      <c r="H22" s="245"/>
      <c r="I22" s="129">
        <f>calculations!I11</f>
        <v>6.8324235463614227E-2</v>
      </c>
      <c r="J22" s="246"/>
      <c r="K22" s="244">
        <f t="shared" si="1"/>
        <v>2.9726222220894175E-5</v>
      </c>
      <c r="L22" s="123"/>
      <c r="M22" s="475" t="s">
        <v>153</v>
      </c>
      <c r="N22" s="476"/>
      <c r="O22" s="476"/>
      <c r="P22" s="338">
        <f>SUM($E41:$E53)</f>
        <v>27.806178070233077</v>
      </c>
      <c r="Q22" s="339"/>
      <c r="R22" s="357">
        <f t="shared" si="2"/>
        <v>0.16630489276455204</v>
      </c>
      <c r="S22" s="357"/>
      <c r="T22" s="358">
        <f>calculations!AI64</f>
        <v>7.3500000000000236</v>
      </c>
      <c r="U22" s="359"/>
    </row>
    <row r="23" spans="1:21" x14ac:dyDescent="0.2">
      <c r="A23" s="286">
        <v>7</v>
      </c>
      <c r="B23" s="287"/>
      <c r="C23" s="287" t="s">
        <v>638</v>
      </c>
      <c r="D23" s="118"/>
      <c r="E23" s="114">
        <f>HLOOKUP($C$14,'Model results and default value'!$U$5:$AK$65,'Model results and default value'!$A12,FALSE)</f>
        <v>1.2019351666226698E-2</v>
      </c>
      <c r="F23" s="119"/>
      <c r="G23" s="241">
        <f t="shared" si="0"/>
        <v>7.1886074558772184E-5</v>
      </c>
      <c r="H23" s="245"/>
      <c r="I23" s="129">
        <f>calculations!I12</f>
        <v>9.2480976029715611E-2</v>
      </c>
      <c r="J23" s="246"/>
      <c r="K23" s="244">
        <f t="shared" si="1"/>
        <v>4.0236235737003457E-5</v>
      </c>
      <c r="L23" s="123"/>
      <c r="M23" s="413" t="s">
        <v>58</v>
      </c>
      <c r="N23" s="414"/>
      <c r="O23" s="414"/>
      <c r="P23" s="338">
        <f>E41+E44+E45+E46+E48+E50</f>
        <v>14.990406096170471</v>
      </c>
      <c r="Q23" s="339"/>
      <c r="R23" s="357">
        <f t="shared" si="2"/>
        <v>8.9655538852694283E-2</v>
      </c>
      <c r="S23" s="357"/>
      <c r="T23" s="358">
        <f>calculations!AP64</f>
        <v>3.675000000000018</v>
      </c>
      <c r="U23" s="359"/>
    </row>
    <row r="24" spans="1:21" x14ac:dyDescent="0.2">
      <c r="A24" s="286">
        <v>8</v>
      </c>
      <c r="B24" s="287"/>
      <c r="C24" s="287" t="s">
        <v>639</v>
      </c>
      <c r="D24" s="118"/>
      <c r="E24" s="114">
        <f>HLOOKUP($C$14,'Model results and default value'!$U$5:$AK$65,'Model results and default value'!$A13,FALSE)</f>
        <v>5.7609264000189029</v>
      </c>
      <c r="F24" s="119"/>
      <c r="G24" s="241">
        <f t="shared" si="0"/>
        <v>3.4455301435519788E-2</v>
      </c>
      <c r="H24" s="245"/>
      <c r="I24" s="129">
        <f>calculations!I13</f>
        <v>53.016058308168191</v>
      </c>
      <c r="J24" s="246"/>
      <c r="K24" s="244">
        <f t="shared" si="1"/>
        <v>2.3066004615357388E-2</v>
      </c>
      <c r="L24" s="123"/>
      <c r="M24" s="415" t="s">
        <v>93</v>
      </c>
      <c r="N24" s="416"/>
      <c r="O24" s="416"/>
      <c r="P24" s="338">
        <f>SUM($E54:$E57)</f>
        <v>29.102879209588799</v>
      </c>
      <c r="Q24" s="338"/>
      <c r="R24" s="357">
        <f t="shared" si="2"/>
        <v>0.17406028235400015</v>
      </c>
      <c r="S24" s="357"/>
      <c r="T24" s="358">
        <f>calculations!AK64</f>
        <v>2.100000000000009</v>
      </c>
      <c r="U24" s="359"/>
    </row>
    <row r="25" spans="1:21" x14ac:dyDescent="0.2">
      <c r="A25" s="286">
        <v>9</v>
      </c>
      <c r="B25" s="287"/>
      <c r="C25" s="287" t="s">
        <v>640</v>
      </c>
      <c r="D25" s="118"/>
      <c r="E25" s="114">
        <f>HLOOKUP($C$14,'Model results and default value'!$U$5:$AK$65,'Model results and default value'!$A14,FALSE)</f>
        <v>3.4562527870950641E-2</v>
      </c>
      <c r="F25" s="119"/>
      <c r="G25" s="241">
        <f t="shared" si="0"/>
        <v>2.0671368343870019E-4</v>
      </c>
      <c r="H25" s="245"/>
      <c r="I25" s="129">
        <f>calculations!I14</f>
        <v>0.15015717653863547</v>
      </c>
      <c r="J25" s="246"/>
      <c r="K25" s="244">
        <f t="shared" si="1"/>
        <v>6.5329755504203033E-5</v>
      </c>
      <c r="L25" s="123"/>
      <c r="M25" s="477" t="s">
        <v>5</v>
      </c>
      <c r="N25" s="478"/>
      <c r="O25" s="478"/>
      <c r="P25" s="338">
        <f>SUM($E58:$E69)</f>
        <v>36.539177936985375</v>
      </c>
      <c r="Q25" s="338"/>
      <c r="R25" s="357">
        <f t="shared" si="2"/>
        <v>0.21853575321163521</v>
      </c>
      <c r="S25" s="357"/>
      <c r="T25" s="358">
        <f>calculations!AJ64</f>
        <v>3.3701420126866006</v>
      </c>
      <c r="U25" s="359"/>
    </row>
    <row r="26" spans="1:21" x14ac:dyDescent="0.2">
      <c r="A26" s="286">
        <v>10</v>
      </c>
      <c r="B26" s="287"/>
      <c r="C26" s="287" t="s">
        <v>642</v>
      </c>
      <c r="D26" s="118"/>
      <c r="E26" s="114">
        <f>HLOOKUP($C$14,'Model results and default value'!$U$5:$AK$65,'Model results and default value'!$A15,FALSE)</f>
        <v>2.7140094915574737</v>
      </c>
      <c r="F26" s="119"/>
      <c r="G26" s="241">
        <f t="shared" si="0"/>
        <v>1.6232114183956196E-2</v>
      </c>
      <c r="H26" s="245"/>
      <c r="I26" s="129">
        <f>calculations!I15</f>
        <v>24.479961295365346</v>
      </c>
      <c r="J26" s="246"/>
      <c r="K26" s="244">
        <f t="shared" si="1"/>
        <v>1.0650639037336179E-2</v>
      </c>
      <c r="L26" s="123"/>
      <c r="M26" s="443" t="s">
        <v>6</v>
      </c>
      <c r="N26" s="444"/>
      <c r="O26" s="444"/>
      <c r="P26" s="338">
        <f>E62+E60</f>
        <v>10.729058958034621</v>
      </c>
      <c r="Q26" s="338"/>
      <c r="R26" s="357">
        <f t="shared" si="2"/>
        <v>6.4169012906905687E-2</v>
      </c>
      <c r="S26" s="357"/>
      <c r="T26" s="358">
        <f>calculations!AQ64</f>
        <v>0.44999999999999879</v>
      </c>
      <c r="U26" s="359"/>
    </row>
    <row r="27" spans="1:21" x14ac:dyDescent="0.2">
      <c r="A27" s="286">
        <v>11</v>
      </c>
      <c r="B27" s="287"/>
      <c r="C27" s="287" t="s">
        <v>564</v>
      </c>
      <c r="D27" s="118"/>
      <c r="E27" s="114">
        <f>HLOOKUP($C$14,'Model results and default value'!$U$5:$AK$65,'Model results and default value'!$A16,FALSE)</f>
        <v>3.5482268455820497E-2</v>
      </c>
      <c r="F27" s="119"/>
      <c r="G27" s="241">
        <f t="shared" si="0"/>
        <v>2.1221452425729983E-4</v>
      </c>
      <c r="H27" s="245"/>
      <c r="I27" s="129">
        <f>calculations!I16</f>
        <v>0.15999449140324862</v>
      </c>
      <c r="J27" s="246"/>
      <c r="K27" s="244">
        <f t="shared" si="1"/>
        <v>6.9609733256433074E-5</v>
      </c>
      <c r="L27" s="123"/>
      <c r="M27" s="443" t="s">
        <v>7</v>
      </c>
      <c r="N27" s="444"/>
      <c r="O27" s="444"/>
      <c r="P27" s="338">
        <f>E61+E63</f>
        <v>4.7719478634928993</v>
      </c>
      <c r="Q27" s="339"/>
      <c r="R27" s="357">
        <f t="shared" si="2"/>
        <v>2.8540358035244639E-2</v>
      </c>
      <c r="S27" s="357"/>
      <c r="T27" s="358">
        <f>calculations!AR64</f>
        <v>0.52101117766362548</v>
      </c>
      <c r="U27" s="359"/>
    </row>
    <row r="28" spans="1:21" ht="13.5" thickBot="1" x14ac:dyDescent="0.25">
      <c r="A28" s="286">
        <v>12</v>
      </c>
      <c r="B28" s="287"/>
      <c r="C28" s="287" t="s">
        <v>454</v>
      </c>
      <c r="D28" s="118"/>
      <c r="E28" s="114">
        <f>HLOOKUP($C$14,'Model results and default value'!$U$5:$AK$65,'Model results and default value'!$A17,FALSE)</f>
        <v>2.6544214037336884</v>
      </c>
      <c r="F28" s="119"/>
      <c r="G28" s="241">
        <f t="shared" si="0"/>
        <v>1.5875726098885712E-2</v>
      </c>
      <c r="H28" s="245"/>
      <c r="I28" s="129">
        <f>calculations!I17</f>
        <v>15.065644751659798</v>
      </c>
      <c r="J28" s="246"/>
      <c r="K28" s="244">
        <f t="shared" si="1"/>
        <v>6.5546976230328249E-3</v>
      </c>
      <c r="L28" s="123"/>
      <c r="M28" s="467" t="s">
        <v>59</v>
      </c>
      <c r="N28" s="468"/>
      <c r="O28" s="468"/>
      <c r="P28" s="346">
        <f>SUM($E70:$E74)</f>
        <v>6.8708691309749454</v>
      </c>
      <c r="Q28" s="346"/>
      <c r="R28" s="347">
        <f t="shared" si="2"/>
        <v>4.1093714898175551E-2</v>
      </c>
      <c r="S28" s="347"/>
      <c r="T28" s="424" t="s">
        <v>495</v>
      </c>
      <c r="U28" s="425"/>
    </row>
    <row r="29" spans="1:21" x14ac:dyDescent="0.2">
      <c r="A29" s="286">
        <v>13</v>
      </c>
      <c r="B29" s="287"/>
      <c r="C29" s="287" t="s">
        <v>565</v>
      </c>
      <c r="D29" s="118"/>
      <c r="E29" s="114">
        <f>HLOOKUP($C$14,'Model results and default value'!$U$5:$AK$65,'Model results and default value'!$A18,FALSE)</f>
        <v>7.6561875247838376E-2</v>
      </c>
      <c r="F29" s="119"/>
      <c r="G29" s="241">
        <f t="shared" si="0"/>
        <v>4.5790595243922513E-4</v>
      </c>
      <c r="H29" s="245"/>
      <c r="I29" s="129">
        <f>calculations!I18</f>
        <v>0.1419994293643177</v>
      </c>
      <c r="J29" s="246"/>
      <c r="K29" s="244">
        <f t="shared" si="1"/>
        <v>6.1780517028570424E-5</v>
      </c>
      <c r="L29" s="123"/>
      <c r="M29" s="130"/>
      <c r="N29" s="123"/>
      <c r="O29" s="131"/>
      <c r="P29" s="123"/>
      <c r="Q29" s="131"/>
      <c r="R29" s="131"/>
      <c r="S29" s="131"/>
      <c r="T29" s="131"/>
      <c r="U29" s="132"/>
    </row>
    <row r="30" spans="1:21" ht="14.25" x14ac:dyDescent="0.2">
      <c r="A30" s="286">
        <v>14</v>
      </c>
      <c r="B30" s="287"/>
      <c r="C30" s="287" t="s">
        <v>456</v>
      </c>
      <c r="D30" s="118"/>
      <c r="E30" s="114">
        <f>HLOOKUP($C$14,'Model results and default value'!$U$5:$AK$65,'Model results and default value'!$A19,FALSE)</f>
        <v>2.0603885172624154E-3</v>
      </c>
      <c r="F30" s="119"/>
      <c r="G30" s="241">
        <f t="shared" si="0"/>
        <v>1.232289783051685E-5</v>
      </c>
      <c r="H30" s="245"/>
      <c r="I30" s="129">
        <f>calculations!I19</f>
        <v>3.488739691131329E-2</v>
      </c>
      <c r="J30" s="246"/>
      <c r="K30" s="244">
        <f t="shared" si="1"/>
        <v>1.517866253836859E-5</v>
      </c>
      <c r="L30" s="123"/>
      <c r="M30" s="134" t="s">
        <v>69</v>
      </c>
      <c r="N30" s="123"/>
      <c r="O30" s="123"/>
      <c r="P30" s="123"/>
      <c r="Q30" s="123"/>
      <c r="R30" s="123"/>
      <c r="S30" s="123"/>
      <c r="T30" s="123"/>
      <c r="U30" s="123"/>
    </row>
    <row r="31" spans="1:21" x14ac:dyDescent="0.2">
      <c r="A31" s="286">
        <v>15</v>
      </c>
      <c r="B31" s="287"/>
      <c r="C31" s="287" t="s">
        <v>458</v>
      </c>
      <c r="D31" s="118"/>
      <c r="E31" s="114">
        <f>HLOOKUP($C$14,'Model results and default value'!$U$5:$AK$65,'Model results and default value'!$A20,FALSE)</f>
        <v>9.6926134798603486E-3</v>
      </c>
      <c r="F31" s="119"/>
      <c r="G31" s="241">
        <f t="shared" si="0"/>
        <v>5.7970176314954291E-5</v>
      </c>
      <c r="H31" s="245"/>
      <c r="I31" s="129">
        <f>calculations!I20</f>
        <v>0.10550685116934698</v>
      </c>
      <c r="J31" s="246"/>
      <c r="K31" s="244">
        <f t="shared" si="1"/>
        <v>4.5903478939871206E-5</v>
      </c>
      <c r="L31" s="123"/>
      <c r="M31" s="410" t="s">
        <v>185</v>
      </c>
      <c r="N31" s="410"/>
      <c r="O31" s="410"/>
      <c r="P31" s="410"/>
      <c r="Q31" s="410"/>
      <c r="R31" s="410"/>
      <c r="S31" s="410"/>
      <c r="T31" s="410"/>
      <c r="U31" s="410"/>
    </row>
    <row r="32" spans="1:21" ht="12.75" customHeight="1" x14ac:dyDescent="0.2">
      <c r="A32" s="286">
        <v>16</v>
      </c>
      <c r="B32" s="287"/>
      <c r="C32" s="287" t="s">
        <v>553</v>
      </c>
      <c r="D32" s="118"/>
      <c r="E32" s="114">
        <f>HLOOKUP($C$14,'Model results and default value'!$U$5:$AK$65,'Model results and default value'!$A21,FALSE)</f>
        <v>14.314016521031771</v>
      </c>
      <c r="F32" s="119"/>
      <c r="G32" s="241">
        <f t="shared" si="0"/>
        <v>8.5610146656888667E-2</v>
      </c>
      <c r="H32" s="245"/>
      <c r="I32" s="129">
        <f>calculations!I21</f>
        <v>135.70098693726823</v>
      </c>
      <c r="J32" s="246"/>
      <c r="K32" s="244">
        <f t="shared" si="1"/>
        <v>5.9040217075537083E-2</v>
      </c>
      <c r="L32" s="123"/>
      <c r="M32" s="410"/>
      <c r="N32" s="410"/>
      <c r="O32" s="410"/>
      <c r="P32" s="410"/>
      <c r="Q32" s="410"/>
      <c r="R32" s="410"/>
      <c r="S32" s="410"/>
      <c r="T32" s="410"/>
      <c r="U32" s="410"/>
    </row>
    <row r="33" spans="1:23" x14ac:dyDescent="0.2">
      <c r="A33" s="286">
        <v>17</v>
      </c>
      <c r="B33" s="287"/>
      <c r="C33" s="287" t="s">
        <v>554</v>
      </c>
      <c r="D33" s="118"/>
      <c r="E33" s="114">
        <f>HLOOKUP($C$14,'Model results and default value'!$U$5:$AK$65,'Model results and default value'!$A22,FALSE)</f>
        <v>4.4957482647643349E-2</v>
      </c>
      <c r="F33" s="119"/>
      <c r="G33" s="241">
        <f t="shared" si="0"/>
        <v>2.6888446559595328E-4</v>
      </c>
      <c r="H33" s="245"/>
      <c r="I33" s="129">
        <f>calculations!I22</f>
        <v>0.31576236834793403</v>
      </c>
      <c r="J33" s="246"/>
      <c r="K33" s="244">
        <f t="shared" si="1"/>
        <v>1.373805687954639E-4</v>
      </c>
      <c r="L33" s="123"/>
      <c r="M33" s="410"/>
      <c r="N33" s="410"/>
      <c r="O33" s="410"/>
      <c r="P33" s="410"/>
      <c r="Q33" s="410"/>
      <c r="R33" s="410"/>
      <c r="S33" s="410"/>
      <c r="T33" s="410"/>
      <c r="U33" s="410"/>
    </row>
    <row r="34" spans="1:23" x14ac:dyDescent="0.2">
      <c r="A34" s="286">
        <v>18</v>
      </c>
      <c r="B34" s="287"/>
      <c r="C34" s="287" t="s">
        <v>578</v>
      </c>
      <c r="D34" s="118"/>
      <c r="E34" s="114">
        <f>HLOOKUP($C$14,'Model results and default value'!$U$5:$AK$65,'Model results and default value'!$A23,FALSE)</f>
        <v>2.7601612600632879E-3</v>
      </c>
      <c r="F34" s="119"/>
      <c r="G34" s="241">
        <f t="shared" si="0"/>
        <v>1.6508141507555563E-5</v>
      </c>
      <c r="H34" s="245"/>
      <c r="I34" s="129">
        <f>calculations!I23</f>
        <v>4.4727624534260269E-2</v>
      </c>
      <c r="J34" s="246"/>
      <c r="K34" s="244">
        <f t="shared" si="1"/>
        <v>1.945990756129577E-5</v>
      </c>
      <c r="L34" s="123"/>
      <c r="M34" s="410"/>
      <c r="N34" s="410"/>
      <c r="O34" s="410"/>
      <c r="P34" s="410"/>
      <c r="Q34" s="410"/>
      <c r="R34" s="410"/>
      <c r="S34" s="410"/>
      <c r="T34" s="410"/>
      <c r="U34" s="410"/>
      <c r="W34" t="s">
        <v>289</v>
      </c>
    </row>
    <row r="35" spans="1:23" ht="13.5" thickBot="1" x14ac:dyDescent="0.25">
      <c r="A35" s="286">
        <v>19</v>
      </c>
      <c r="B35" s="287"/>
      <c r="C35" s="287" t="s">
        <v>555</v>
      </c>
      <c r="D35" s="118"/>
      <c r="E35" s="114">
        <f>HLOOKUP($C$14,'Model results and default value'!$U$5:$AK$65,'Model results and default value'!$A24,FALSE)</f>
        <v>2.2427883139873865E-2</v>
      </c>
      <c r="F35" s="119"/>
      <c r="G35" s="241">
        <f t="shared" si="0"/>
        <v>1.34138057056662E-4</v>
      </c>
      <c r="H35" s="245"/>
      <c r="I35" s="129">
        <f>calculations!I24</f>
        <v>0.14137187424540437</v>
      </c>
      <c r="J35" s="246"/>
      <c r="K35" s="244">
        <f t="shared" si="1"/>
        <v>6.1507482975659404E-5</v>
      </c>
      <c r="L35" s="123"/>
      <c r="M35" s="411"/>
      <c r="N35" s="411"/>
      <c r="O35" s="411"/>
      <c r="P35" s="411"/>
      <c r="Q35" s="411"/>
      <c r="R35" s="411"/>
      <c r="S35" s="411"/>
      <c r="T35" s="411"/>
      <c r="U35" s="411"/>
    </row>
    <row r="36" spans="1:23" x14ac:dyDescent="0.2">
      <c r="A36" s="286">
        <v>20</v>
      </c>
      <c r="B36" s="287"/>
      <c r="C36" s="287" t="s">
        <v>579</v>
      </c>
      <c r="D36" s="118"/>
      <c r="E36" s="114">
        <f>HLOOKUP($C$14,'Model results and default value'!$U$5:$AK$65,'Model results and default value'!$A25,FALSE)</f>
        <v>6.9505823717141051E-3</v>
      </c>
      <c r="F36" s="119"/>
      <c r="G36" s="241">
        <f t="shared" si="0"/>
        <v>4.1570468730347556E-5</v>
      </c>
      <c r="H36" s="245"/>
      <c r="I36" s="129">
        <f>calculations!I25</f>
        <v>0.13162969127441146</v>
      </c>
      <c r="J36" s="246"/>
      <c r="K36" s="244">
        <f t="shared" si="1"/>
        <v>5.7268894809289498E-5</v>
      </c>
      <c r="L36" s="123"/>
      <c r="M36" s="268" t="s">
        <v>635</v>
      </c>
      <c r="N36" s="142"/>
      <c r="O36" s="215"/>
      <c r="P36" s="142"/>
      <c r="Q36" s="248">
        <f>'objective function'!B63</f>
        <v>27.418365102210057</v>
      </c>
      <c r="R36" s="471" t="s">
        <v>525</v>
      </c>
      <c r="S36" s="471"/>
      <c r="T36" s="471"/>
      <c r="U36" s="233">
        <f>'objective function'!V23</f>
        <v>0.99406567519379407</v>
      </c>
    </row>
    <row r="37" spans="1:23" ht="13.5" thickBot="1" x14ac:dyDescent="0.25">
      <c r="A37" s="286">
        <v>21</v>
      </c>
      <c r="B37" s="287"/>
      <c r="C37" s="287" t="s">
        <v>580</v>
      </c>
      <c r="D37" s="118"/>
      <c r="E37" s="114">
        <f>HLOOKUP($C$14,'Model results and default value'!$U$5:$AK$65,'Model results and default value'!$A26,FALSE)</f>
        <v>3.2689368472565206E-2</v>
      </c>
      <c r="F37" s="119"/>
      <c r="G37" s="241">
        <f t="shared" si="0"/>
        <v>1.9551057698902652E-4</v>
      </c>
      <c r="H37" s="245"/>
      <c r="I37" s="129">
        <f>calculations!I26</f>
        <v>0.36152650561083599</v>
      </c>
      <c r="J37" s="246"/>
      <c r="K37" s="244">
        <f t="shared" si="1"/>
        <v>1.5729143797378056E-4</v>
      </c>
      <c r="L37" s="123"/>
      <c r="M37" s="267" t="s">
        <v>636</v>
      </c>
      <c r="N37" s="216"/>
      <c r="O37" s="217"/>
      <c r="P37" s="216"/>
      <c r="Q37" s="249">
        <f>'objective function'!D64</f>
        <v>27.107851442334876</v>
      </c>
      <c r="R37" s="412" t="s">
        <v>525</v>
      </c>
      <c r="S37" s="412"/>
      <c r="T37" s="412"/>
      <c r="U37" s="234">
        <f>'objective function'!W23</f>
        <v>0.98280785694642381</v>
      </c>
    </row>
    <row r="38" spans="1:23" ht="13.5" thickBot="1" x14ac:dyDescent="0.25">
      <c r="A38" s="286">
        <v>22</v>
      </c>
      <c r="B38" s="287"/>
      <c r="C38" s="287" t="s">
        <v>430</v>
      </c>
      <c r="D38" s="118"/>
      <c r="E38" s="114">
        <f>HLOOKUP($C$14,'Model results and default value'!$U$5:$AK$65,'Model results and default value'!$A27,FALSE)</f>
        <v>0.29319016724571995</v>
      </c>
      <c r="F38" s="119"/>
      <c r="G38" s="241">
        <f t="shared" si="0"/>
        <v>1.7535297084074176E-3</v>
      </c>
      <c r="H38" s="245"/>
      <c r="I38" s="129">
        <f>calculations!I27</f>
        <v>0.27527895192945667</v>
      </c>
      <c r="J38" s="246"/>
      <c r="K38" s="244">
        <f t="shared" si="1"/>
        <v>1.1976721352627059E-4</v>
      </c>
      <c r="L38" s="123"/>
      <c r="M38" s="123"/>
      <c r="N38" s="123"/>
      <c r="O38" s="133"/>
      <c r="P38" s="123"/>
      <c r="Q38" s="250"/>
      <c r="R38" s="250"/>
      <c r="S38" s="250"/>
      <c r="T38" s="250"/>
      <c r="U38" s="123"/>
    </row>
    <row r="39" spans="1:23" ht="14.25" customHeight="1" x14ac:dyDescent="0.2">
      <c r="A39" s="286">
        <v>23</v>
      </c>
      <c r="B39" s="287"/>
      <c r="C39" s="287" t="s">
        <v>581</v>
      </c>
      <c r="D39" s="118"/>
      <c r="E39" s="114">
        <f>HLOOKUP($C$14,'Model results and default value'!$U$5:$AK$65,'Model results and default value'!$A30,FALSE)</f>
        <v>7.070791234721443</v>
      </c>
      <c r="F39" s="119"/>
      <c r="G39" s="241">
        <f t="shared" si="0"/>
        <v>4.2289421260295751E-2</v>
      </c>
      <c r="H39" s="245"/>
      <c r="I39" s="129">
        <f>calculations!I28</f>
        <v>143.87702367678185</v>
      </c>
      <c r="J39" s="246"/>
      <c r="K39" s="244">
        <f t="shared" si="1"/>
        <v>6.2597412898597674E-2</v>
      </c>
      <c r="L39" s="123"/>
      <c r="M39" s="135" t="s">
        <v>70</v>
      </c>
      <c r="N39" s="123"/>
      <c r="O39" s="222"/>
      <c r="P39" s="139"/>
      <c r="Q39" s="437" t="s">
        <v>572</v>
      </c>
      <c r="R39" s="437"/>
      <c r="S39" s="340" t="s">
        <v>573</v>
      </c>
      <c r="T39" s="340"/>
      <c r="U39" s="342"/>
    </row>
    <row r="40" spans="1:23" ht="12.75" customHeight="1" x14ac:dyDescent="0.2">
      <c r="A40" s="286">
        <v>24</v>
      </c>
      <c r="B40" s="287"/>
      <c r="C40" s="287" t="s">
        <v>15</v>
      </c>
      <c r="D40" s="118"/>
      <c r="E40" s="114">
        <f>HLOOKUP($C$14,'Model results and default value'!$U$5:$AK$65,'Model results and default value'!$A31,FALSE)</f>
        <v>8.3570376185964417</v>
      </c>
      <c r="F40" s="119"/>
      <c r="G40" s="241">
        <f t="shared" si="0"/>
        <v>4.9982282407873502E-2</v>
      </c>
      <c r="H40" s="245"/>
      <c r="I40" s="129">
        <f>calculations!I29</f>
        <v>162.00735977518278</v>
      </c>
      <c r="J40" s="246"/>
      <c r="K40" s="244">
        <f t="shared" si="1"/>
        <v>7.0485483597721402E-2</v>
      </c>
      <c r="L40" s="123"/>
      <c r="M40" s="123"/>
      <c r="N40" s="123"/>
      <c r="O40" s="251"/>
      <c r="P40" s="223"/>
      <c r="Q40" s="438"/>
      <c r="R40" s="438"/>
      <c r="S40" s="419"/>
      <c r="T40" s="419"/>
      <c r="U40" s="440"/>
    </row>
    <row r="41" spans="1:23" ht="13.5" thickBot="1" x14ac:dyDescent="0.25">
      <c r="A41" s="291">
        <v>25</v>
      </c>
      <c r="B41" s="292"/>
      <c r="C41" s="292" t="s">
        <v>602</v>
      </c>
      <c r="D41" s="118"/>
      <c r="E41" s="114">
        <f>HLOOKUP($C$14,'Model results and default value'!$U$5:$AK$65,'Model results and default value'!$A32,FALSE)</f>
        <v>1.9150785136971487</v>
      </c>
      <c r="F41" s="119"/>
      <c r="G41" s="241">
        <f t="shared" si="0"/>
        <v>1.1453818861825062E-2</v>
      </c>
      <c r="H41" s="245"/>
      <c r="I41" s="129">
        <f>calculations!I30</f>
        <v>80.159074181838378</v>
      </c>
      <c r="J41" s="246"/>
      <c r="K41" s="244">
        <f t="shared" si="1"/>
        <v>3.4875274285643965E-2</v>
      </c>
      <c r="L41" s="123"/>
      <c r="M41" s="123"/>
      <c r="N41" s="188"/>
      <c r="O41" s="441" t="s">
        <v>499</v>
      </c>
      <c r="P41" s="442"/>
      <c r="Q41" s="439"/>
      <c r="R41" s="439"/>
      <c r="S41" s="420"/>
      <c r="T41" s="420"/>
      <c r="U41" s="427"/>
    </row>
    <row r="42" spans="1:23" ht="13.5" thickBot="1" x14ac:dyDescent="0.25">
      <c r="A42" s="291">
        <v>26</v>
      </c>
      <c r="B42" s="292"/>
      <c r="C42" s="292" t="s">
        <v>329</v>
      </c>
      <c r="D42" s="118"/>
      <c r="E42" s="114">
        <f>HLOOKUP($C$14,'Model results and default value'!$U$5:$AK$65,'Model results and default value'!$A33,FALSE)</f>
        <v>3.4640654928415809E-2</v>
      </c>
      <c r="F42" s="119"/>
      <c r="G42" s="241">
        <f t="shared" si="0"/>
        <v>2.0718095052880289E-4</v>
      </c>
      <c r="H42" s="245"/>
      <c r="I42" s="129">
        <f>calculations!I31</f>
        <v>1.0852992422688805</v>
      </c>
      <c r="J42" s="246"/>
      <c r="K42" s="244">
        <f t="shared" si="1"/>
        <v>4.7218744904995992E-4</v>
      </c>
      <c r="L42" s="123"/>
      <c r="M42" s="269" t="s">
        <v>92</v>
      </c>
      <c r="N42" s="136"/>
      <c r="O42" s="252">
        <f>calculations!$I$64</f>
        <v>2298.4500000000003</v>
      </c>
      <c r="P42" s="252"/>
      <c r="Q42" s="434">
        <f>calculations!$I$67</f>
        <v>0.99500000000000011</v>
      </c>
      <c r="R42" s="434"/>
      <c r="S42" s="435">
        <f>calculations!$I$65</f>
        <v>2310</v>
      </c>
      <c r="T42" s="435"/>
      <c r="U42" s="436"/>
      <c r="V42" s="376"/>
      <c r="W42" s="377"/>
    </row>
    <row r="43" spans="1:23" x14ac:dyDescent="0.2">
      <c r="A43" s="291">
        <v>27</v>
      </c>
      <c r="B43" s="292"/>
      <c r="C43" s="292" t="s">
        <v>457</v>
      </c>
      <c r="D43" s="118"/>
      <c r="E43" s="114">
        <f>HLOOKUP($C$14,'Model results and default value'!$U$5:$AK$65,'Model results and default value'!$A34,FALSE)</f>
        <v>8.0926257251071852E-3</v>
      </c>
      <c r="F43" s="119"/>
      <c r="G43" s="241">
        <f t="shared" si="0"/>
        <v>4.840087156164589E-5</v>
      </c>
      <c r="H43" s="245"/>
      <c r="I43" s="129">
        <f>calculations!I32</f>
        <v>0.12428087000316936</v>
      </c>
      <c r="J43" s="246"/>
      <c r="K43" s="244">
        <f t="shared" si="1"/>
        <v>5.4071600427753196E-5</v>
      </c>
      <c r="L43" s="123"/>
      <c r="M43" s="123"/>
      <c r="N43" s="123"/>
      <c r="O43" s="123"/>
      <c r="P43" s="123"/>
      <c r="Q43" s="123"/>
      <c r="R43" s="123"/>
      <c r="S43" s="123"/>
      <c r="T43" s="123"/>
      <c r="U43" s="123"/>
    </row>
    <row r="44" spans="1:23" ht="15" thickBot="1" x14ac:dyDescent="0.25">
      <c r="A44" s="291">
        <v>28</v>
      </c>
      <c r="B44" s="292"/>
      <c r="C44" s="292" t="s">
        <v>63</v>
      </c>
      <c r="D44" s="118"/>
      <c r="E44" s="114">
        <f>HLOOKUP($C$14,'Model results and default value'!$U$5:$AK$65,'Model results and default value'!$A35,FALSE)</f>
        <v>5.5013934370800599E-3</v>
      </c>
      <c r="F44" s="119"/>
      <c r="G44" s="241">
        <f t="shared" si="0"/>
        <v>3.2903070795933406E-5</v>
      </c>
      <c r="H44" s="245"/>
      <c r="I44" s="129">
        <f>calculations!I33</f>
        <v>3.0860982906976864E-2</v>
      </c>
      <c r="J44" s="246"/>
      <c r="K44" s="244">
        <f t="shared" si="1"/>
        <v>1.3426867196143862E-5</v>
      </c>
      <c r="L44" s="123"/>
      <c r="M44" s="134" t="s">
        <v>71</v>
      </c>
      <c r="N44" s="123"/>
      <c r="O44" s="123"/>
      <c r="P44" s="123"/>
      <c r="Q44" s="123"/>
      <c r="R44" s="123"/>
      <c r="S44" s="123"/>
      <c r="T44" s="123"/>
      <c r="U44" s="123"/>
    </row>
    <row r="45" spans="1:23" ht="12" customHeight="1" x14ac:dyDescent="0.2">
      <c r="A45" s="291">
        <v>29</v>
      </c>
      <c r="B45" s="292"/>
      <c r="C45" s="292" t="s">
        <v>615</v>
      </c>
      <c r="D45" s="118"/>
      <c r="E45" s="114">
        <f>HLOOKUP($C$14,'Model results and default value'!$U$5:$AK$65,'Model results and default value'!$A36,FALSE)</f>
        <v>5.7357500945817028</v>
      </c>
      <c r="F45" s="119"/>
      <c r="G45" s="241">
        <f t="shared" si="0"/>
        <v>3.4304725446062848E-2</v>
      </c>
      <c r="H45" s="245"/>
      <c r="I45" s="129">
        <f>calculations!I34</f>
        <v>122.18899103602079</v>
      </c>
      <c r="J45" s="246"/>
      <c r="K45" s="244">
        <f t="shared" si="1"/>
        <v>5.3161474487598503E-2</v>
      </c>
      <c r="L45" s="123"/>
      <c r="M45" s="137"/>
      <c r="N45" s="123"/>
      <c r="O45" s="138" t="s">
        <v>252</v>
      </c>
      <c r="P45" s="139"/>
      <c r="Q45" s="340" t="s">
        <v>156</v>
      </c>
      <c r="R45" s="340"/>
      <c r="S45" s="340" t="s">
        <v>490</v>
      </c>
      <c r="T45" s="340"/>
      <c r="U45" s="342"/>
    </row>
    <row r="46" spans="1:23" ht="12" customHeight="1" thickBot="1" x14ac:dyDescent="0.25">
      <c r="A46" s="291">
        <v>30</v>
      </c>
      <c r="B46" s="292"/>
      <c r="C46" s="292" t="s">
        <v>322</v>
      </c>
      <c r="D46" s="118"/>
      <c r="E46" s="114">
        <f>HLOOKUP($C$14,'Model results and default value'!$U$5:$AK$65,'Model results and default value'!$A37,FALSE)</f>
        <v>7.3271198041899268</v>
      </c>
      <c r="F46" s="119"/>
      <c r="G46" s="241">
        <f t="shared" si="0"/>
        <v>4.3822486867164674E-2</v>
      </c>
      <c r="H46" s="245"/>
      <c r="I46" s="129">
        <f>calculations!I35</f>
        <v>245.71060230282848</v>
      </c>
      <c r="J46" s="246"/>
      <c r="K46" s="244">
        <f t="shared" si="1"/>
        <v>0.10690273980414125</v>
      </c>
      <c r="L46" s="123"/>
      <c r="M46" s="123"/>
      <c r="N46" s="123"/>
      <c r="O46" s="235" t="s">
        <v>253</v>
      </c>
      <c r="P46" s="140"/>
      <c r="Q46" s="420"/>
      <c r="R46" s="420"/>
      <c r="S46" s="420"/>
      <c r="T46" s="420"/>
      <c r="U46" s="427"/>
    </row>
    <row r="47" spans="1:23" x14ac:dyDescent="0.2">
      <c r="A47" s="291">
        <v>31</v>
      </c>
      <c r="B47" s="292"/>
      <c r="C47" s="292" t="s">
        <v>315</v>
      </c>
      <c r="D47" s="118"/>
      <c r="E47" s="114">
        <f>HLOOKUP($C$14,'Model results and default value'!$U$5:$AK$65,'Model results and default value'!$A38,FALSE)</f>
        <v>3.3234154217812222</v>
      </c>
      <c r="F47" s="119"/>
      <c r="G47" s="241">
        <f t="shared" si="0"/>
        <v>1.9876886493906849E-2</v>
      </c>
      <c r="H47" s="245"/>
      <c r="I47" s="129">
        <f>calculations!I36</f>
        <v>106.17494512591128</v>
      </c>
      <c r="J47" s="246"/>
      <c r="K47" s="244">
        <f t="shared" si="1"/>
        <v>4.6194150460489143E-2</v>
      </c>
      <c r="L47" s="123"/>
      <c r="M47" s="141" t="s">
        <v>472</v>
      </c>
      <c r="N47" s="142"/>
      <c r="O47" s="253">
        <f>calculations!$L$64/9</f>
        <v>80.727999508183316</v>
      </c>
      <c r="P47" s="247"/>
      <c r="Q47" s="428">
        <f>calculations!$L$64/(calculations!$J$64+calculations!$K$64+calculations!$L$64)</f>
        <v>0.30843131270855617</v>
      </c>
      <c r="R47" s="428"/>
      <c r="S47" s="429" t="str">
        <f>calculations!$L$77</f>
        <v>20% to 35%</v>
      </c>
      <c r="T47" s="429"/>
      <c r="U47" s="430"/>
    </row>
    <row r="48" spans="1:23" x14ac:dyDescent="0.2">
      <c r="A48" s="291">
        <v>32</v>
      </c>
      <c r="B48" s="292"/>
      <c r="C48" s="292" t="s">
        <v>429</v>
      </c>
      <c r="D48" s="118"/>
      <c r="E48" s="114">
        <f>HLOOKUP($C$14,'Model results and default value'!$U$5:$AK$65,'Model results and default value'!$A39,FALSE)</f>
        <v>1.8597551516174208E-4</v>
      </c>
      <c r="F48" s="119"/>
      <c r="G48" s="241">
        <f t="shared" si="0"/>
        <v>1.1122937509673579E-6</v>
      </c>
      <c r="H48" s="245"/>
      <c r="I48" s="129">
        <f>calculations!I37</f>
        <v>2.724559556242455E-3</v>
      </c>
      <c r="J48" s="246"/>
      <c r="K48" s="244">
        <f t="shared" si="1"/>
        <v>1.185389961166201E-6</v>
      </c>
      <c r="L48" s="123"/>
      <c r="M48" s="143" t="s">
        <v>251</v>
      </c>
      <c r="N48" s="144"/>
      <c r="O48" s="253">
        <f>calculations!$M$64/9</f>
        <v>21.805026141651361</v>
      </c>
      <c r="P48" s="247"/>
      <c r="Q48" s="426">
        <f>calculations!$M$64/(calculations!$J$64+calculations!$K$64+calculations!$L$64)</f>
        <v>8.3308800880568953E-2</v>
      </c>
      <c r="R48" s="426"/>
      <c r="S48" s="431" t="str">
        <f>calculations!$M$77</f>
        <v>0% to 10%</v>
      </c>
      <c r="T48" s="431"/>
      <c r="U48" s="432"/>
    </row>
    <row r="49" spans="1:21" ht="12.75" customHeight="1" x14ac:dyDescent="0.2">
      <c r="A49" s="291">
        <v>33</v>
      </c>
      <c r="B49" s="292"/>
      <c r="C49" s="292" t="s">
        <v>331</v>
      </c>
      <c r="D49" s="118"/>
      <c r="E49" s="114">
        <f>HLOOKUP($C$14,'Model results and default value'!$U$5:$AK$65,'Model results and default value'!$A40,FALSE)</f>
        <v>3.8920889403679859E-3</v>
      </c>
      <c r="F49" s="119"/>
      <c r="G49" s="241">
        <f t="shared" si="0"/>
        <v>2.3278043901722426E-5</v>
      </c>
      <c r="H49" s="245"/>
      <c r="I49" s="129">
        <f>calculations!I38</f>
        <v>0.11352107302617254</v>
      </c>
      <c r="J49" s="246"/>
      <c r="K49" s="244">
        <f t="shared" ref="K49:K74" si="3">(I49/$I$75)</f>
        <v>4.9390273021459038E-5</v>
      </c>
      <c r="L49" s="123"/>
      <c r="M49" s="254" t="s">
        <v>290</v>
      </c>
      <c r="N49" s="144"/>
      <c r="O49" s="253">
        <f>calculations!$AG$64/9</f>
        <v>20.246272522572767</v>
      </c>
      <c r="P49" s="247"/>
      <c r="Q49" s="426">
        <f>calculations!$AG$64/(calculations!$J$64+calculations!$K$64+calculations!$L$64)</f>
        <v>7.7353389773510764E-2</v>
      </c>
      <c r="R49" s="426"/>
      <c r="S49" s="431" t="str">
        <f>calculations!AG77</f>
        <v>5% to 10%</v>
      </c>
      <c r="T49" s="431"/>
      <c r="U49" s="432"/>
    </row>
    <row r="50" spans="1:21" ht="12.75" customHeight="1" x14ac:dyDescent="0.2">
      <c r="A50" s="291">
        <v>34</v>
      </c>
      <c r="B50" s="292"/>
      <c r="C50" s="292" t="s">
        <v>604</v>
      </c>
      <c r="D50" s="118"/>
      <c r="E50" s="114">
        <f>HLOOKUP($C$14,'Model results and default value'!$U$5:$AK$65,'Model results and default value'!$A41,FALSE)</f>
        <v>6.7703147494516643E-3</v>
      </c>
      <c r="F50" s="119"/>
      <c r="G50" s="241">
        <f t="shared" si="0"/>
        <v>4.0492313094806644E-5</v>
      </c>
      <c r="H50" s="245"/>
      <c r="I50" s="129">
        <f>calculations!I39</f>
        <v>0.12844017144595418</v>
      </c>
      <c r="J50" s="246"/>
      <c r="K50" s="244">
        <f t="shared" si="3"/>
        <v>5.5881211880160182E-5</v>
      </c>
      <c r="L50" s="123"/>
      <c r="M50" s="254" t="s">
        <v>291</v>
      </c>
      <c r="N50" s="144"/>
      <c r="O50" s="253">
        <f>calculations!$AH$64/9</f>
        <v>1.8632005702785146</v>
      </c>
      <c r="P50" s="247"/>
      <c r="Q50" s="470">
        <f>calculations!$AH$64/(calculations!$J$64+calculations!$K$64+calculations!$L$64)</f>
        <v>7.1185883613042959E-3</v>
      </c>
      <c r="R50" s="470"/>
      <c r="S50" s="431" t="str">
        <f>calculations!AH77</f>
        <v>0.6% to 1.2%</v>
      </c>
      <c r="T50" s="431"/>
      <c r="U50" s="432"/>
    </row>
    <row r="51" spans="1:21" x14ac:dyDescent="0.2">
      <c r="A51" s="291">
        <v>35</v>
      </c>
      <c r="B51" s="292"/>
      <c r="C51" s="292" t="s">
        <v>563</v>
      </c>
      <c r="D51" s="118"/>
      <c r="E51" s="114">
        <f>HLOOKUP($C$14,'Model results and default value'!$U$5:$AK$65,'Model results and default value'!$A42,FALSE)</f>
        <v>9.3842259518792819</v>
      </c>
      <c r="F51" s="119"/>
      <c r="G51" s="241">
        <f t="shared" si="0"/>
        <v>5.6125753300713462E-2</v>
      </c>
      <c r="H51" s="245"/>
      <c r="I51" s="129">
        <f>calculations!I40</f>
        <v>202.44082973144725</v>
      </c>
      <c r="J51" s="246"/>
      <c r="K51" s="244">
        <f t="shared" si="3"/>
        <v>8.8077108369312901E-2</v>
      </c>
      <c r="L51" s="123"/>
      <c r="M51" s="143" t="s">
        <v>473</v>
      </c>
      <c r="N51" s="144"/>
      <c r="O51" s="253">
        <f>calculations!$K$64/4</f>
        <v>309.86015280133665</v>
      </c>
      <c r="P51" s="247"/>
      <c r="Q51" s="426">
        <f>calculations!$K$64/(calculations!$J$64+calculations!$K$64+calculations!$L$64)</f>
        <v>0.52615958261394469</v>
      </c>
      <c r="R51" s="426"/>
      <c r="S51" s="431" t="str">
        <f>calculations!$K$77</f>
        <v>45% to 65%</v>
      </c>
      <c r="T51" s="431"/>
      <c r="U51" s="432"/>
    </row>
    <row r="52" spans="1:21" ht="13.5" thickBot="1" x14ac:dyDescent="0.25">
      <c r="A52" s="291">
        <v>36</v>
      </c>
      <c r="B52" s="292"/>
      <c r="C52" s="292" t="s">
        <v>582</v>
      </c>
      <c r="D52" s="118"/>
      <c r="E52" s="114">
        <f>HLOOKUP($C$14,'Model results and default value'!$U$5:$AK$65,'Model results and default value'!$A43,FALSE)</f>
        <v>3.8270025298307711E-2</v>
      </c>
      <c r="F52" s="119"/>
      <c r="G52" s="241">
        <f t="shared" si="0"/>
        <v>2.2888771111428079E-4</v>
      </c>
      <c r="H52" s="245"/>
      <c r="I52" s="129">
        <f>calculations!I41</f>
        <v>0.66845335545011997</v>
      </c>
      <c r="J52" s="246"/>
      <c r="K52" s="244">
        <f t="shared" si="3"/>
        <v>2.9082788638000386E-4</v>
      </c>
      <c r="L52" s="123"/>
      <c r="M52" s="145" t="s">
        <v>474</v>
      </c>
      <c r="N52" s="146"/>
      <c r="O52" s="255">
        <f>calculations!$J$64/4</f>
        <v>97.410922738450125</v>
      </c>
      <c r="P52" s="256"/>
      <c r="Q52" s="469">
        <f>calculations!$J$64/(calculations!$J$64+calculations!$K$64+calculations!$L$64)</f>
        <v>0.16540910467749903</v>
      </c>
      <c r="R52" s="469"/>
      <c r="S52" s="422" t="str">
        <f>calculations!$J$77</f>
        <v>10% to 35%</v>
      </c>
      <c r="T52" s="422"/>
      <c r="U52" s="423"/>
    </row>
    <row r="53" spans="1:21" x14ac:dyDescent="0.2">
      <c r="A53" s="291">
        <v>37</v>
      </c>
      <c r="B53" s="292"/>
      <c r="C53" s="292" t="s">
        <v>455</v>
      </c>
      <c r="D53" s="118"/>
      <c r="E53" s="114">
        <f>HLOOKUP($C$14,'Model results and default value'!$U$5:$AK$65,'Model results and default value'!$A44,FALSE)</f>
        <v>2.3235205509897196E-2</v>
      </c>
      <c r="F53" s="119"/>
      <c r="G53" s="241">
        <f t="shared" si="0"/>
        <v>1.389665401309642E-4</v>
      </c>
      <c r="H53" s="245"/>
      <c r="I53" s="129">
        <f>calculations!I42</f>
        <v>0.32665124122301836</v>
      </c>
      <c r="J53" s="246"/>
      <c r="K53" s="244">
        <f t="shared" si="3"/>
        <v>1.4211805400292298E-4</v>
      </c>
      <c r="L53" s="123"/>
      <c r="M53" s="123"/>
      <c r="N53" s="123"/>
      <c r="O53" s="123"/>
      <c r="P53" s="123"/>
      <c r="Q53" s="123"/>
      <c r="R53" s="123"/>
      <c r="S53" s="123"/>
      <c r="T53" s="123"/>
      <c r="U53" s="123"/>
    </row>
    <row r="54" spans="1:21" ht="14.25" x14ac:dyDescent="0.2">
      <c r="A54" s="293">
        <v>38</v>
      </c>
      <c r="B54" s="294"/>
      <c r="C54" s="294" t="s">
        <v>605</v>
      </c>
      <c r="D54" s="118"/>
      <c r="E54" s="114">
        <f>HLOOKUP($C$14,'Model results and default value'!$U$5:$AK$65,'Model results and default value'!$A45,FALSE)</f>
        <v>9.1029054601982795E-2</v>
      </c>
      <c r="F54" s="119"/>
      <c r="G54" s="241">
        <f t="shared" si="0"/>
        <v>5.4443214474870138E-4</v>
      </c>
      <c r="H54" s="245"/>
      <c r="I54" s="129">
        <f>calculations!I43</f>
        <v>0.3858097065787004</v>
      </c>
      <c r="J54" s="246"/>
      <c r="K54" s="244">
        <f t="shared" si="3"/>
        <v>1.6785647135186772E-4</v>
      </c>
      <c r="L54" s="123"/>
      <c r="M54" s="134" t="s">
        <v>72</v>
      </c>
      <c r="N54" s="123"/>
      <c r="O54" s="123"/>
      <c r="P54" s="123"/>
      <c r="Q54" s="123"/>
      <c r="R54" s="123"/>
      <c r="S54" s="123"/>
      <c r="T54" s="123"/>
      <c r="U54" s="123"/>
    </row>
    <row r="55" spans="1:21" ht="13.5" thickBot="1" x14ac:dyDescent="0.25">
      <c r="A55" s="293">
        <v>39</v>
      </c>
      <c r="B55" s="294"/>
      <c r="C55" s="294" t="s">
        <v>583</v>
      </c>
      <c r="D55" s="118"/>
      <c r="E55" s="114">
        <f>HLOOKUP($C$14,'Model results and default value'!$U$5:$AK$65,'Model results and default value'!$A46,FALSE)</f>
        <v>2.4745957457604557E-2</v>
      </c>
      <c r="F55" s="119"/>
      <c r="G55" s="241">
        <f t="shared" si="0"/>
        <v>1.4800213790433362E-4</v>
      </c>
      <c r="H55" s="245"/>
      <c r="I55" s="129">
        <f>calculations!I44</f>
        <v>8.5486684832267068E-2</v>
      </c>
      <c r="J55" s="246"/>
      <c r="K55" s="244">
        <f t="shared" si="3"/>
        <v>3.7193188815187214E-5</v>
      </c>
      <c r="L55" s="123"/>
      <c r="M55" s="147" t="s">
        <v>158</v>
      </c>
      <c r="N55" s="123"/>
      <c r="O55" s="123"/>
      <c r="P55" s="123"/>
      <c r="Q55" s="123"/>
      <c r="R55" s="123"/>
      <c r="S55" s="123"/>
      <c r="T55" s="123"/>
      <c r="U55" s="123"/>
    </row>
    <row r="56" spans="1:21" ht="12.75" customHeight="1" x14ac:dyDescent="0.2">
      <c r="A56" s="293">
        <v>40</v>
      </c>
      <c r="B56" s="294"/>
      <c r="C56" s="294" t="s">
        <v>606</v>
      </c>
      <c r="D56" s="118"/>
      <c r="E56" s="114">
        <f>HLOOKUP($C$14,'Model results and default value'!$U$5:$AK$65,'Model results and default value'!$A47,FALSE)</f>
        <v>1.7641976146399427</v>
      </c>
      <c r="F56" s="119"/>
      <c r="G56" s="241">
        <f t="shared" si="0"/>
        <v>1.0551421140191055E-2</v>
      </c>
      <c r="H56" s="245"/>
      <c r="I56" s="129">
        <f>calculations!I45</f>
        <v>14.827276448585454</v>
      </c>
      <c r="J56" s="246"/>
      <c r="K56" s="244">
        <f t="shared" si="3"/>
        <v>6.4509893400271721E-3</v>
      </c>
      <c r="L56" s="123"/>
      <c r="M56" s="147"/>
      <c r="N56" s="123"/>
      <c r="O56" s="138" t="s">
        <v>254</v>
      </c>
      <c r="P56" s="142"/>
      <c r="Q56" s="142"/>
      <c r="R56" s="142"/>
      <c r="S56" s="142"/>
      <c r="T56" s="142"/>
      <c r="U56" s="257"/>
    </row>
    <row r="57" spans="1:21" ht="12.75" customHeight="1" x14ac:dyDescent="0.2">
      <c r="A57" s="293">
        <v>41</v>
      </c>
      <c r="B57" s="294"/>
      <c r="C57" s="294" t="s">
        <v>584</v>
      </c>
      <c r="D57" s="118"/>
      <c r="E57" s="114">
        <f>HLOOKUP($C$14,'Model results and default value'!$U$5:$AK$65,'Model results and default value'!$A48,FALSE)</f>
        <v>27.222906582889269</v>
      </c>
      <c r="F57" s="119"/>
      <c r="G57" s="241">
        <f t="shared" si="0"/>
        <v>0.16281642693115606</v>
      </c>
      <c r="H57" s="245"/>
      <c r="I57" s="129">
        <f>calculations!I46</f>
        <v>205.33407043876548</v>
      </c>
      <c r="J57" s="246"/>
      <c r="K57" s="244">
        <f t="shared" si="3"/>
        <v>8.933588741924578E-2</v>
      </c>
      <c r="L57" s="123"/>
      <c r="M57" s="147"/>
      <c r="N57" s="123"/>
      <c r="O57" s="270" t="s">
        <v>255</v>
      </c>
      <c r="P57" s="144"/>
      <c r="Q57" s="419" t="s">
        <v>507</v>
      </c>
      <c r="R57" s="419"/>
      <c r="S57" s="419" t="s">
        <v>157</v>
      </c>
      <c r="T57" s="419"/>
      <c r="U57" s="440"/>
    </row>
    <row r="58" spans="1:21" ht="12" customHeight="1" thickBot="1" x14ac:dyDescent="0.25">
      <c r="A58" s="295">
        <v>42</v>
      </c>
      <c r="B58" s="296"/>
      <c r="C58" s="296" t="s">
        <v>230</v>
      </c>
      <c r="D58" s="118"/>
      <c r="E58" s="114">
        <f>HLOOKUP($C$14,'Model results and default value'!$U$5:$AK$65,'Model results and default value'!$A49,FALSE)</f>
        <v>2.7657892703347599E-2</v>
      </c>
      <c r="F58" s="119"/>
      <c r="G58" s="241">
        <f t="shared" si="0"/>
        <v>1.6541801856069152E-4</v>
      </c>
      <c r="H58" s="245"/>
      <c r="I58" s="129">
        <f>calculations!I47</f>
        <v>0.71731700277561405</v>
      </c>
      <c r="J58" s="246"/>
      <c r="K58" s="244">
        <f t="shared" si="3"/>
        <v>3.1208727741548171E-4</v>
      </c>
      <c r="L58" s="123"/>
      <c r="M58" s="123"/>
      <c r="N58" s="123"/>
      <c r="O58" s="251" t="s">
        <v>256</v>
      </c>
      <c r="P58" s="144"/>
      <c r="Q58" s="420"/>
      <c r="R58" s="420"/>
      <c r="S58" s="420"/>
      <c r="T58" s="420"/>
      <c r="U58" s="427"/>
    </row>
    <row r="59" spans="1:21" ht="12" customHeight="1" x14ac:dyDescent="0.2">
      <c r="A59" s="295">
        <v>43</v>
      </c>
      <c r="B59" s="296"/>
      <c r="C59" s="296" t="s">
        <v>332</v>
      </c>
      <c r="D59" s="118"/>
      <c r="E59" s="114">
        <f>HLOOKUP($C$14,'Model results and default value'!$U$5:$AK$65,'Model results and default value'!$A50,FALSE)</f>
        <v>5.3541933127256183</v>
      </c>
      <c r="F59" s="119"/>
      <c r="G59" s="241">
        <f t="shared" si="0"/>
        <v>3.2022687277067127E-2</v>
      </c>
      <c r="H59" s="245"/>
      <c r="I59" s="129">
        <f>calculations!I48</f>
        <v>119.92313484001342</v>
      </c>
      <c r="J59" s="246"/>
      <c r="K59" s="244">
        <f t="shared" si="3"/>
        <v>5.2175655263335466E-2</v>
      </c>
      <c r="L59" s="123"/>
      <c r="M59" s="224" t="s">
        <v>460</v>
      </c>
      <c r="N59" s="142"/>
      <c r="O59" s="258">
        <f>calculations!$N$64</f>
        <v>1314.7069511920988</v>
      </c>
      <c r="P59" s="259"/>
      <c r="Q59" s="421">
        <f>calculations!N65</f>
        <v>1000</v>
      </c>
      <c r="R59" s="421"/>
      <c r="S59" s="465" t="str">
        <f>calculations!$N$68</f>
        <v>Yes</v>
      </c>
      <c r="T59" s="465"/>
      <c r="U59" s="466"/>
    </row>
    <row r="60" spans="1:21" x14ac:dyDescent="0.2">
      <c r="A60" s="295">
        <v>44</v>
      </c>
      <c r="B60" s="296"/>
      <c r="C60" s="296" t="s">
        <v>176</v>
      </c>
      <c r="D60" s="118"/>
      <c r="E60" s="114">
        <f>HLOOKUP($C$14,'Model results and default value'!$U$5:$AK$65,'Model results and default value'!$A51,FALSE)</f>
        <v>4.2634232220793695</v>
      </c>
      <c r="F60" s="119"/>
      <c r="G60" s="241">
        <f t="shared" si="0"/>
        <v>2.5498942715785726E-2</v>
      </c>
      <c r="H60" s="245"/>
      <c r="I60" s="129">
        <f>calculations!I49</f>
        <v>11.341330504571964</v>
      </c>
      <c r="J60" s="246"/>
      <c r="K60" s="244">
        <f t="shared" si="3"/>
        <v>4.9343385779860175E-3</v>
      </c>
      <c r="L60" s="123"/>
      <c r="M60" s="220" t="s">
        <v>462</v>
      </c>
      <c r="N60" s="144"/>
      <c r="O60" s="260">
        <f>calculations!$Q$64</f>
        <v>32.679885192891255</v>
      </c>
      <c r="P60" s="247"/>
      <c r="Q60" s="418">
        <f>calculations!Q65</f>
        <v>30.8</v>
      </c>
      <c r="R60" s="418"/>
      <c r="S60" s="339" t="str">
        <f>calculations!$Q$68</f>
        <v>Yes</v>
      </c>
      <c r="T60" s="339"/>
      <c r="U60" s="433"/>
    </row>
    <row r="61" spans="1:21" x14ac:dyDescent="0.2">
      <c r="A61" s="295">
        <v>45</v>
      </c>
      <c r="B61" s="296"/>
      <c r="C61" s="296" t="s">
        <v>448</v>
      </c>
      <c r="D61" s="118"/>
      <c r="E61" s="114">
        <f>HLOOKUP($C$14,'Model results and default value'!$U$5:$AK$65,'Model results and default value'!$A52,FALSE)</f>
        <v>2.0262831871752576E-4</v>
      </c>
      <c r="F61" s="119"/>
      <c r="G61" s="241">
        <f t="shared" si="0"/>
        <v>1.2118918583584088E-6</v>
      </c>
      <c r="H61" s="245"/>
      <c r="I61" s="129">
        <f>calculations!I50</f>
        <v>2.5281533367175857E-3</v>
      </c>
      <c r="J61" s="246"/>
      <c r="K61" s="244">
        <f t="shared" si="3"/>
        <v>1.0999383657323786E-6</v>
      </c>
      <c r="L61" s="123"/>
      <c r="M61" s="220" t="s">
        <v>463</v>
      </c>
      <c r="N61" s="144"/>
      <c r="O61" s="253">
        <f>calculations!$R$64</f>
        <v>669.60876161409112</v>
      </c>
      <c r="P61" s="247"/>
      <c r="Q61" s="417">
        <f>calculations!R65</f>
        <v>400</v>
      </c>
      <c r="R61" s="417"/>
      <c r="S61" s="339" t="str">
        <f>calculations!$R$68</f>
        <v>Yes</v>
      </c>
      <c r="T61" s="339"/>
      <c r="U61" s="433"/>
    </row>
    <row r="62" spans="1:21" x14ac:dyDescent="0.2">
      <c r="A62" s="295">
        <v>46</v>
      </c>
      <c r="B62" s="296"/>
      <c r="C62" s="296" t="s">
        <v>535</v>
      </c>
      <c r="D62" s="118"/>
      <c r="E62" s="114">
        <f>HLOOKUP($C$14,'Model results and default value'!$U$5:$AK$65,'Model results and default value'!$A53,FALSE)</f>
        <v>6.4656357359552503</v>
      </c>
      <c r="F62" s="119"/>
      <c r="G62" s="241">
        <f t="shared" si="0"/>
        <v>3.8670070191119954E-2</v>
      </c>
      <c r="H62" s="245"/>
      <c r="I62" s="129">
        <f>calculations!I51</f>
        <v>10.319233418579051</v>
      </c>
      <c r="J62" s="246"/>
      <c r="K62" s="244">
        <f t="shared" si="3"/>
        <v>4.4896488583954621E-3</v>
      </c>
      <c r="L62" s="123"/>
      <c r="M62" s="220" t="s">
        <v>464</v>
      </c>
      <c r="N62" s="144"/>
      <c r="O62" s="253">
        <f>calculations!$AE$64</f>
        <v>1524.152568957338</v>
      </c>
      <c r="P62" s="247"/>
      <c r="Q62" s="417">
        <f>calculations!AE65</f>
        <v>700</v>
      </c>
      <c r="R62" s="417"/>
      <c r="S62" s="339" t="str">
        <f>calculations!$AE$68</f>
        <v>Yes</v>
      </c>
      <c r="T62" s="339"/>
      <c r="U62" s="433"/>
    </row>
    <row r="63" spans="1:21" x14ac:dyDescent="0.2">
      <c r="A63" s="295">
        <v>47</v>
      </c>
      <c r="B63" s="296"/>
      <c r="C63" s="296" t="s">
        <v>603</v>
      </c>
      <c r="D63" s="118"/>
      <c r="E63" s="114">
        <f>HLOOKUP($C$14,'Model results and default value'!$U$5:$AK$65,'Model results and default value'!$A54,FALSE)</f>
        <v>4.7717452351741816</v>
      </c>
      <c r="F63" s="119"/>
      <c r="G63" s="241">
        <f t="shared" si="0"/>
        <v>2.853914614338628E-2</v>
      </c>
      <c r="H63" s="245"/>
      <c r="I63" s="129">
        <f>calculations!I52</f>
        <v>28.722080715140635</v>
      </c>
      <c r="J63" s="246"/>
      <c r="K63" s="244">
        <f t="shared" si="3"/>
        <v>1.249628258832719E-2</v>
      </c>
      <c r="L63" s="123"/>
      <c r="M63" s="219" t="s">
        <v>465</v>
      </c>
      <c r="N63" s="144"/>
      <c r="O63" s="253">
        <f>calculations!$AC$64</f>
        <v>104.53544403205642</v>
      </c>
      <c r="P63" s="247"/>
      <c r="Q63" s="417">
        <f>calculations!AC65</f>
        <v>75</v>
      </c>
      <c r="R63" s="417"/>
      <c r="S63" s="339" t="str">
        <f>calculations!$AC$68</f>
        <v>Yes</v>
      </c>
      <c r="T63" s="339"/>
      <c r="U63" s="433"/>
    </row>
    <row r="64" spans="1:21" x14ac:dyDescent="0.2">
      <c r="A64" s="295">
        <v>48</v>
      </c>
      <c r="B64" s="296"/>
      <c r="C64" s="296" t="s">
        <v>155</v>
      </c>
      <c r="D64" s="118"/>
      <c r="E64" s="114">
        <f>HLOOKUP($C$14,'Model results and default value'!$U$5:$AK$65,'Model results and default value'!$A55,FALSE)</f>
        <v>1.3572683942584884E-2</v>
      </c>
      <c r="F64" s="119"/>
      <c r="G64" s="241">
        <f t="shared" si="0"/>
        <v>8.1176339369526889E-5</v>
      </c>
      <c r="H64" s="245"/>
      <c r="I64" s="129">
        <f>calculations!I53</f>
        <v>0.10304073954784858</v>
      </c>
      <c r="J64" s="246"/>
      <c r="K64" s="244">
        <f t="shared" si="3"/>
        <v>4.4830533423763218E-5</v>
      </c>
      <c r="L64" s="123"/>
      <c r="M64" s="220" t="s">
        <v>395</v>
      </c>
      <c r="N64" s="144"/>
      <c r="O64" s="260">
        <f>calculations!AB64</f>
        <v>3.0698391316874676</v>
      </c>
      <c r="P64" s="260"/>
      <c r="Q64" s="418">
        <f>calculations!AB65</f>
        <v>1.3</v>
      </c>
      <c r="R64" s="418"/>
      <c r="S64" s="339" t="str">
        <f>calculations!AB68</f>
        <v>Yes</v>
      </c>
      <c r="T64" s="339"/>
      <c r="U64" s="433"/>
    </row>
    <row r="65" spans="1:21" x14ac:dyDescent="0.2">
      <c r="A65" s="295">
        <v>49</v>
      </c>
      <c r="B65" s="296"/>
      <c r="C65" s="296" t="s">
        <v>48</v>
      </c>
      <c r="D65" s="118"/>
      <c r="E65" s="114">
        <f>HLOOKUP($C$14,'Model results and default value'!$U$5:$AK$65,'Model results and default value'!$A56,FALSE)</f>
        <v>6.4277723426814175</v>
      </c>
      <c r="F65" s="119"/>
      <c r="G65" s="241">
        <f t="shared" si="0"/>
        <v>3.8443614489721431E-2</v>
      </c>
      <c r="H65" s="245"/>
      <c r="I65" s="129">
        <f>calculations!I54</f>
        <v>52.124416082531589</v>
      </c>
      <c r="J65" s="246"/>
      <c r="K65" s="244">
        <f t="shared" si="3"/>
        <v>2.2678072650060513E-2</v>
      </c>
      <c r="L65" s="123"/>
      <c r="M65" s="220" t="s">
        <v>396</v>
      </c>
      <c r="N65" s="144"/>
      <c r="O65" s="260">
        <f>calculations!AA64</f>
        <v>7.2250058038892746</v>
      </c>
      <c r="P65" s="260"/>
      <c r="Q65" s="418">
        <f>calculations!AA65</f>
        <v>2.4</v>
      </c>
      <c r="R65" s="418"/>
      <c r="S65" s="339" t="str">
        <f>calculations!AA68</f>
        <v>Yes</v>
      </c>
      <c r="T65" s="339"/>
      <c r="U65" s="433"/>
    </row>
    <row r="66" spans="1:21" x14ac:dyDescent="0.2">
      <c r="A66" s="295">
        <v>50</v>
      </c>
      <c r="B66" s="296"/>
      <c r="C66" s="296" t="s">
        <v>423</v>
      </c>
      <c r="D66" s="118"/>
      <c r="E66" s="114">
        <f>HLOOKUP($C$14,'Model results and default value'!$U$5:$AK$65,'Model results and default value'!$A57,FALSE)</f>
        <v>0.18860345304719894</v>
      </c>
      <c r="F66" s="119"/>
      <c r="G66" s="241">
        <f t="shared" si="0"/>
        <v>1.1280110828181765E-3</v>
      </c>
      <c r="H66" s="245"/>
      <c r="I66" s="129">
        <f>calculations!I55</f>
        <v>0.79000390089500783</v>
      </c>
      <c r="J66" s="246"/>
      <c r="K66" s="244">
        <f t="shared" si="3"/>
        <v>3.4371158863364775E-4</v>
      </c>
      <c r="L66" s="123"/>
      <c r="M66" s="220" t="s">
        <v>394</v>
      </c>
      <c r="N66" s="144"/>
      <c r="O66" s="253">
        <f>calculations!W64</f>
        <v>4266.113008081622</v>
      </c>
      <c r="P66" s="247"/>
      <c r="Q66" s="417">
        <f>calculations!W65</f>
        <v>4700</v>
      </c>
      <c r="R66" s="417"/>
      <c r="S66" s="339" t="str">
        <f>calculations!W68</f>
        <v>No</v>
      </c>
      <c r="T66" s="339"/>
      <c r="U66" s="433"/>
    </row>
    <row r="67" spans="1:21" ht="13.5" thickBot="1" x14ac:dyDescent="0.25">
      <c r="A67" s="295">
        <v>51</v>
      </c>
      <c r="B67" s="296"/>
      <c r="C67" s="296" t="s">
        <v>330</v>
      </c>
      <c r="D67" s="118"/>
      <c r="E67" s="114">
        <f>HLOOKUP($C$14,'Model results and default value'!$U$5:$AK$65,'Model results and default value'!$A58,FALSE)</f>
        <v>0.13378488239579986</v>
      </c>
      <c r="F67" s="119"/>
      <c r="G67" s="241">
        <f t="shared" si="0"/>
        <v>8.0014881815669841E-4</v>
      </c>
      <c r="H67" s="245"/>
      <c r="I67" s="129">
        <f>calculations!I56</f>
        <v>0.25338622504513736</v>
      </c>
      <c r="J67" s="246"/>
      <c r="K67" s="244">
        <f t="shared" si="3"/>
        <v>1.1024221760105173E-4</v>
      </c>
      <c r="L67" s="123"/>
      <c r="M67" s="221" t="s">
        <v>466</v>
      </c>
      <c r="N67" s="146"/>
      <c r="O67" s="255">
        <f>calculations!$S$64</f>
        <v>18.900000000000041</v>
      </c>
      <c r="P67" s="256"/>
      <c r="Q67" s="448">
        <f>calculations!S65</f>
        <v>18</v>
      </c>
      <c r="R67" s="448"/>
      <c r="S67" s="455" t="str">
        <f>calculations!$S$68</f>
        <v>Yes</v>
      </c>
      <c r="T67" s="455"/>
      <c r="U67" s="456"/>
    </row>
    <row r="68" spans="1:21" x14ac:dyDescent="0.2">
      <c r="A68" s="295">
        <v>52</v>
      </c>
      <c r="B68" s="296"/>
      <c r="C68" s="296" t="s">
        <v>422</v>
      </c>
      <c r="D68" s="118"/>
      <c r="E68" s="114">
        <f>HLOOKUP($C$14,'Model results and default value'!$U$5:$AK$65,'Model results and default value'!$A59,FALSE)</f>
        <v>6.5953371115302462</v>
      </c>
      <c r="F68" s="119"/>
      <c r="G68" s="241">
        <f t="shared" si="0"/>
        <v>3.9445796121592415E-2</v>
      </c>
      <c r="H68" s="245"/>
      <c r="I68" s="129">
        <f>calculations!I57</f>
        <v>67.187867810022809</v>
      </c>
      <c r="J68" s="246"/>
      <c r="K68" s="244">
        <f t="shared" si="3"/>
        <v>2.9231816141322545E-2</v>
      </c>
      <c r="L68" s="123"/>
      <c r="M68" s="123"/>
      <c r="N68" s="123"/>
      <c r="O68" s="148"/>
      <c r="P68" s="123"/>
      <c r="Q68" s="148"/>
      <c r="R68" s="148"/>
      <c r="S68" s="148"/>
      <c r="T68" s="148"/>
      <c r="U68" s="123"/>
    </row>
    <row r="69" spans="1:21" ht="13.5" thickBot="1" x14ac:dyDescent="0.25">
      <c r="A69" s="295">
        <v>53</v>
      </c>
      <c r="B69" s="296"/>
      <c r="C69" s="296" t="s">
        <v>333</v>
      </c>
      <c r="D69" s="118"/>
      <c r="E69" s="114">
        <f>HLOOKUP($C$14,'Model results and default value'!$U$5:$AK$65,'Model results and default value'!$A60,FALSE)</f>
        <v>2.2972494364316409</v>
      </c>
      <c r="F69" s="119"/>
      <c r="G69" s="241">
        <f t="shared" si="0"/>
        <v>1.3739530122198822E-2</v>
      </c>
      <c r="H69" s="245"/>
      <c r="I69" s="129">
        <f>calculations!I58</f>
        <v>10.720957892735294</v>
      </c>
      <c r="J69" s="246"/>
      <c r="K69" s="244">
        <f t="shared" si="3"/>
        <v>4.6644294601732878E-3</v>
      </c>
      <c r="L69" s="123"/>
      <c r="M69" s="147" t="s">
        <v>154</v>
      </c>
      <c r="N69" s="123"/>
      <c r="O69" s="148"/>
      <c r="P69" s="123"/>
      <c r="Q69" s="148"/>
      <c r="R69" s="148"/>
      <c r="S69" s="148"/>
      <c r="T69" s="148"/>
      <c r="U69" s="123"/>
    </row>
    <row r="70" spans="1:21" ht="12.75" customHeight="1" x14ac:dyDescent="0.2">
      <c r="A70" s="298">
        <v>54</v>
      </c>
      <c r="B70" s="299"/>
      <c r="C70" s="300" t="s">
        <v>49</v>
      </c>
      <c r="D70" s="118"/>
      <c r="E70" s="114">
        <f>HLOOKUP($C$14,'Model results and default value'!$U$5:$AK$65,'Model results and default value'!$A61,FALSE)</f>
        <v>6.0758197095641462</v>
      </c>
      <c r="F70" s="119"/>
      <c r="G70" s="241">
        <f t="shared" si="0"/>
        <v>3.6338634626579852E-2</v>
      </c>
      <c r="H70" s="245"/>
      <c r="I70" s="129">
        <f>calculations!I59</f>
        <v>135.52778415561033</v>
      </c>
      <c r="J70" s="246"/>
      <c r="K70" s="244">
        <f t="shared" si="3"/>
        <v>5.8964860734673503E-2</v>
      </c>
      <c r="L70" s="123"/>
      <c r="M70" s="147"/>
      <c r="N70" s="123"/>
      <c r="O70" s="225" t="s">
        <v>254</v>
      </c>
      <c r="P70" s="139"/>
      <c r="Q70" s="226"/>
      <c r="R70" s="226"/>
      <c r="S70" s="226"/>
      <c r="T70" s="226"/>
      <c r="U70" s="257"/>
    </row>
    <row r="71" spans="1:21" ht="12.75" customHeight="1" x14ac:dyDescent="0.2">
      <c r="A71" s="298">
        <v>55</v>
      </c>
      <c r="B71" s="299"/>
      <c r="C71" s="300" t="s">
        <v>50</v>
      </c>
      <c r="D71" s="118"/>
      <c r="E71" s="114">
        <f>HLOOKUP($C$14,'Model results and default value'!$U$5:$AK$65,'Model results and default value'!$A62,FALSE)</f>
        <v>0.76123885178113659</v>
      </c>
      <c r="F71" s="119"/>
      <c r="G71" s="241">
        <f t="shared" si="0"/>
        <v>4.5528639460594338E-3</v>
      </c>
      <c r="H71" s="245"/>
      <c r="I71" s="129">
        <f>calculations!I60</f>
        <v>3.022700788652545</v>
      </c>
      <c r="J71" s="246"/>
      <c r="K71" s="244">
        <f t="shared" si="3"/>
        <v>1.3151039999358457E-3</v>
      </c>
      <c r="L71" s="123"/>
      <c r="M71" s="147"/>
      <c r="N71" s="123"/>
      <c r="O71" s="227" t="s">
        <v>255</v>
      </c>
      <c r="P71" s="223"/>
      <c r="Q71" s="449" t="s">
        <v>508</v>
      </c>
      <c r="R71" s="449"/>
      <c r="S71" s="419" t="s">
        <v>574</v>
      </c>
      <c r="T71" s="419"/>
      <c r="U71" s="440"/>
    </row>
    <row r="72" spans="1:21" ht="12" customHeight="1" thickBot="1" x14ac:dyDescent="0.25">
      <c r="A72" s="298">
        <v>56</v>
      </c>
      <c r="B72" s="299"/>
      <c r="C72" s="300" t="s">
        <v>51</v>
      </c>
      <c r="D72" s="118"/>
      <c r="E72" s="114">
        <f>HLOOKUP($C$14,'Model results and default value'!$U$5:$AK$65,'Model results and default value'!$A63,FALSE)</f>
        <v>1.6225112079566048E-2</v>
      </c>
      <c r="F72" s="119"/>
      <c r="G72" s="241">
        <f t="shared" si="0"/>
        <v>9.7040144016543434E-5</v>
      </c>
      <c r="H72" s="245"/>
      <c r="I72" s="129">
        <f>calculations!I61</f>
        <v>0.23092933444361388</v>
      </c>
      <c r="J72" s="246"/>
      <c r="K72" s="244">
        <f t="shared" si="3"/>
        <v>1.0047176768849175E-4</v>
      </c>
      <c r="L72" s="123"/>
      <c r="M72" s="123"/>
      <c r="N72" s="123"/>
      <c r="O72" s="261" t="s">
        <v>256</v>
      </c>
      <c r="P72" s="223"/>
      <c r="Q72" s="450"/>
      <c r="R72" s="450"/>
      <c r="S72" s="420"/>
      <c r="T72" s="420"/>
      <c r="U72" s="427"/>
    </row>
    <row r="73" spans="1:21" x14ac:dyDescent="0.2">
      <c r="A73" s="298">
        <v>57</v>
      </c>
      <c r="B73" s="299"/>
      <c r="C73" s="299" t="s">
        <v>193</v>
      </c>
      <c r="D73" s="118"/>
      <c r="E73" s="114">
        <f>HLOOKUP($C$14,'Model results and default value'!$U$5:$AK$65,'Model results and default value'!$A64,FALSE)</f>
        <v>1.1982548878847473E-2</v>
      </c>
      <c r="F73" s="119"/>
      <c r="G73" s="241">
        <f t="shared" si="0"/>
        <v>7.1665962194063899E-5</v>
      </c>
      <c r="H73" s="245"/>
      <c r="I73" s="129">
        <f>calculations!I62</f>
        <v>2.5366911258745527E-2</v>
      </c>
      <c r="J73" s="246"/>
      <c r="K73" s="244">
        <f t="shared" si="3"/>
        <v>1.1036529512821913E-5</v>
      </c>
      <c r="L73" s="123"/>
      <c r="M73" s="218" t="s">
        <v>461</v>
      </c>
      <c r="N73" s="142"/>
      <c r="O73" s="228">
        <f>calculations!$Y$64</f>
        <v>2807.7825145827132</v>
      </c>
      <c r="P73" s="231"/>
      <c r="Q73" s="451">
        <f>calculations!Y71</f>
        <v>2300</v>
      </c>
      <c r="R73" s="451"/>
      <c r="S73" s="457" t="str">
        <f>calculations!$Y$68</f>
        <v>Yes</v>
      </c>
      <c r="T73" s="457"/>
      <c r="U73" s="458"/>
    </row>
    <row r="74" spans="1:21" ht="13.5" thickBot="1" x14ac:dyDescent="0.25">
      <c r="A74" s="298">
        <v>58</v>
      </c>
      <c r="B74" s="299"/>
      <c r="C74" s="301" t="s">
        <v>326</v>
      </c>
      <c r="D74" s="118"/>
      <c r="E74" s="114">
        <f>HLOOKUP($C$14,'Model results and default value'!$U$5:$AK$65,'Model results and default value'!$A65,FALSE)</f>
        <v>5.6029086712477312E-3</v>
      </c>
      <c r="F74" s="119"/>
      <c r="G74" s="241">
        <f t="shared" si="0"/>
        <v>3.3510219325644359E-5</v>
      </c>
      <c r="H74" s="245"/>
      <c r="I74" s="129">
        <f>calculations!I63</f>
        <v>8.2724826821509487E-2</v>
      </c>
      <c r="J74" s="246"/>
      <c r="K74" s="244">
        <f t="shared" si="3"/>
        <v>3.5991571198637985E-5</v>
      </c>
      <c r="L74" s="123"/>
      <c r="M74" s="254" t="s">
        <v>506</v>
      </c>
      <c r="N74" s="144"/>
      <c r="O74" s="229">
        <f>calculations!O64</f>
        <v>223.04975912096299</v>
      </c>
      <c r="P74" s="214"/>
      <c r="Q74" s="452">
        <f>calculations!O66</f>
        <v>299.99</v>
      </c>
      <c r="R74" s="452"/>
      <c r="S74" s="445" t="str">
        <f>calculations!O68</f>
        <v>No</v>
      </c>
      <c r="T74" s="445"/>
      <c r="U74" s="446"/>
    </row>
    <row r="75" spans="1:21" ht="14.25" thickTop="1" thickBot="1" x14ac:dyDescent="0.25">
      <c r="A75" s="262"/>
      <c r="B75" s="263"/>
      <c r="C75" s="127" t="s">
        <v>500</v>
      </c>
      <c r="D75" s="120"/>
      <c r="E75" s="121">
        <f>SUM(E17:E74)</f>
        <v>167.19999999999985</v>
      </c>
      <c r="F75" s="120"/>
      <c r="G75" s="264">
        <f>SUM(G17:G74)</f>
        <v>1.0000000000000002</v>
      </c>
      <c r="H75" s="263"/>
      <c r="I75" s="266">
        <f>calculations!$I$64</f>
        <v>2298.4500000000003</v>
      </c>
      <c r="J75" s="263"/>
      <c r="K75" s="265">
        <f>SUM(K17:K74)</f>
        <v>0.99999999999999944</v>
      </c>
      <c r="L75" s="123"/>
      <c r="M75" s="337" t="s">
        <v>663</v>
      </c>
      <c r="N75" s="146"/>
      <c r="O75" s="230">
        <f>calculations!AO64</f>
        <v>304.49999999999955</v>
      </c>
      <c r="P75" s="232"/>
      <c r="Q75" s="447">
        <f>calculations!AO66</f>
        <v>290</v>
      </c>
      <c r="R75" s="447"/>
      <c r="S75" s="453" t="str">
        <f>calculations!AO68</f>
        <v>Yes</v>
      </c>
      <c r="T75" s="453"/>
      <c r="U75" s="454"/>
    </row>
    <row r="76" spans="1:21" ht="13.5" thickTop="1" x14ac:dyDescent="0.2"/>
    <row r="91" spans="3:3" x14ac:dyDescent="0.2">
      <c r="C91" t="s">
        <v>397</v>
      </c>
    </row>
    <row r="92" spans="3:3" x14ac:dyDescent="0.2">
      <c r="C92" t="s">
        <v>401</v>
      </c>
    </row>
    <row r="93" spans="3:3" x14ac:dyDescent="0.2">
      <c r="C93" t="s">
        <v>398</v>
      </c>
    </row>
    <row r="94" spans="3:3" x14ac:dyDescent="0.2">
      <c r="C94" t="s">
        <v>399</v>
      </c>
    </row>
    <row r="95" spans="3:3" x14ac:dyDescent="0.2">
      <c r="C95" t="s">
        <v>405</v>
      </c>
    </row>
    <row r="96" spans="3:3" x14ac:dyDescent="0.2">
      <c r="C96" t="s">
        <v>402</v>
      </c>
    </row>
    <row r="97" spans="3:3" x14ac:dyDescent="0.2">
      <c r="C97" t="s">
        <v>257</v>
      </c>
    </row>
    <row r="98" spans="3:3" x14ac:dyDescent="0.2">
      <c r="C98" t="s">
        <v>258</v>
      </c>
    </row>
    <row r="99" spans="3:3" x14ac:dyDescent="0.2">
      <c r="C99" s="333" t="s">
        <v>654</v>
      </c>
    </row>
    <row r="100" spans="3:3" x14ac:dyDescent="0.2">
      <c r="C100" t="s">
        <v>260</v>
      </c>
    </row>
    <row r="101" spans="3:3" x14ac:dyDescent="0.2">
      <c r="C101" t="s">
        <v>110</v>
      </c>
    </row>
    <row r="102" spans="3:3" x14ac:dyDescent="0.2">
      <c r="C102" t="s">
        <v>261</v>
      </c>
    </row>
    <row r="103" spans="3:3" x14ac:dyDescent="0.2">
      <c r="C103" t="s">
        <v>196</v>
      </c>
    </row>
    <row r="104" spans="3:3" x14ac:dyDescent="0.2">
      <c r="C104" t="s">
        <v>262</v>
      </c>
    </row>
    <row r="105" spans="3:3" x14ac:dyDescent="0.2">
      <c r="C105" s="333" t="s">
        <v>655</v>
      </c>
    </row>
    <row r="106" spans="3:3" x14ac:dyDescent="0.2">
      <c r="C106" t="s">
        <v>231</v>
      </c>
    </row>
    <row r="107" spans="3:3" x14ac:dyDescent="0.2">
      <c r="C107" t="s">
        <v>109</v>
      </c>
    </row>
  </sheetData>
  <mergeCells count="113">
    <mergeCell ref="M22:O22"/>
    <mergeCell ref="M25:O25"/>
    <mergeCell ref="T25:U25"/>
    <mergeCell ref="M26:O26"/>
    <mergeCell ref="T26:U26"/>
    <mergeCell ref="P21:Q21"/>
    <mergeCell ref="S62:U62"/>
    <mergeCell ref="S57:U58"/>
    <mergeCell ref="S59:U59"/>
    <mergeCell ref="S60:U60"/>
    <mergeCell ref="S61:U61"/>
    <mergeCell ref="M28:O28"/>
    <mergeCell ref="R28:S28"/>
    <mergeCell ref="Q52:R52"/>
    <mergeCell ref="S49:U49"/>
    <mergeCell ref="S50:U50"/>
    <mergeCell ref="S51:U51"/>
    <mergeCell ref="Q49:R49"/>
    <mergeCell ref="Q50:R50"/>
    <mergeCell ref="R36:T36"/>
    <mergeCell ref="Q62:R62"/>
    <mergeCell ref="S74:U74"/>
    <mergeCell ref="Q75:R75"/>
    <mergeCell ref="Q64:R64"/>
    <mergeCell ref="Q65:R65"/>
    <mergeCell ref="Q66:R66"/>
    <mergeCell ref="Q67:R67"/>
    <mergeCell ref="Q71:R72"/>
    <mergeCell ref="Q73:R73"/>
    <mergeCell ref="Q74:R74"/>
    <mergeCell ref="S75:U75"/>
    <mergeCell ref="S64:U64"/>
    <mergeCell ref="S65:U65"/>
    <mergeCell ref="S66:U66"/>
    <mergeCell ref="S67:U67"/>
    <mergeCell ref="S71:U72"/>
    <mergeCell ref="S73:U73"/>
    <mergeCell ref="Q63:R63"/>
    <mergeCell ref="Q60:R60"/>
    <mergeCell ref="Q61:R61"/>
    <mergeCell ref="Q57:R58"/>
    <mergeCell ref="Q59:R59"/>
    <mergeCell ref="P25:Q25"/>
    <mergeCell ref="P26:Q26"/>
    <mergeCell ref="R26:S26"/>
    <mergeCell ref="S52:U52"/>
    <mergeCell ref="T28:U28"/>
    <mergeCell ref="Q51:R51"/>
    <mergeCell ref="Q45:R46"/>
    <mergeCell ref="S45:U46"/>
    <mergeCell ref="Q47:R47"/>
    <mergeCell ref="S47:U47"/>
    <mergeCell ref="Q48:R48"/>
    <mergeCell ref="S48:U48"/>
    <mergeCell ref="S63:U63"/>
    <mergeCell ref="Q42:R42"/>
    <mergeCell ref="S42:U42"/>
    <mergeCell ref="Q39:R41"/>
    <mergeCell ref="S39:U41"/>
    <mergeCell ref="O41:P41"/>
    <mergeCell ref="M27:O27"/>
    <mergeCell ref="V42:W42"/>
    <mergeCell ref="A1:U1"/>
    <mergeCell ref="A12:C13"/>
    <mergeCell ref="A16:C16"/>
    <mergeCell ref="D12:F16"/>
    <mergeCell ref="G12:H16"/>
    <mergeCell ref="J12:K16"/>
    <mergeCell ref="R25:S25"/>
    <mergeCell ref="P27:Q27"/>
    <mergeCell ref="P28:Q28"/>
    <mergeCell ref="R27:S27"/>
    <mergeCell ref="M31:U35"/>
    <mergeCell ref="R37:T37"/>
    <mergeCell ref="T21:U21"/>
    <mergeCell ref="T22:U22"/>
    <mergeCell ref="T23:U23"/>
    <mergeCell ref="T24:U24"/>
    <mergeCell ref="R22:S22"/>
    <mergeCell ref="R23:S23"/>
    <mergeCell ref="R24:S24"/>
    <mergeCell ref="R21:S21"/>
    <mergeCell ref="T27:U27"/>
    <mergeCell ref="M23:O23"/>
    <mergeCell ref="M24:O24"/>
    <mergeCell ref="M20:O20"/>
    <mergeCell ref="P20:Q20"/>
    <mergeCell ref="R20:S20"/>
    <mergeCell ref="T20:U20"/>
    <mergeCell ref="A2:U2"/>
    <mergeCell ref="A3:U3"/>
    <mergeCell ref="A8:U8"/>
    <mergeCell ref="A9:U9"/>
    <mergeCell ref="A5:U5"/>
    <mergeCell ref="A7:U7"/>
    <mergeCell ref="D4:T4"/>
    <mergeCell ref="B6:C6"/>
    <mergeCell ref="D6:T6"/>
    <mergeCell ref="B4:C4"/>
    <mergeCell ref="I14:I16"/>
    <mergeCell ref="M14:O15"/>
    <mergeCell ref="T17:U19"/>
    <mergeCell ref="P22:Q22"/>
    <mergeCell ref="P23:Q23"/>
    <mergeCell ref="P24:Q24"/>
    <mergeCell ref="P12:Q13"/>
    <mergeCell ref="R12:S13"/>
    <mergeCell ref="T12:U13"/>
    <mergeCell ref="T15:U15"/>
    <mergeCell ref="P15:Q15"/>
    <mergeCell ref="R15:S15"/>
    <mergeCell ref="P17:Q19"/>
    <mergeCell ref="R17:S19"/>
  </mergeCells>
  <phoneticPr fontId="3" type="noConversion"/>
  <dataValidations count="1">
    <dataValidation type="list" allowBlank="1" showInputMessage="1" showErrorMessage="1" sqref="C14">
      <formula1>$C$91:$C$107</formula1>
    </dataValidation>
  </dataValidations>
  <pageMargins left="0.5" right="0.5" top="0.94" bottom="0.69" header="0.3" footer="0.3"/>
  <pageSetup scale="5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60"/>
  <sheetViews>
    <sheetView workbookViewId="0">
      <pane xSplit="1" ySplit="2" topLeftCell="Z3" activePane="bottomRight" state="frozen"/>
      <selection sqref="A1:U1"/>
      <selection pane="topRight" sqref="A1:U1"/>
      <selection pane="bottomLeft" sqref="A1:U1"/>
      <selection pane="bottomRight" activeCell="AH3" sqref="AH3:AH60"/>
    </sheetView>
  </sheetViews>
  <sheetFormatPr defaultColWidth="8.7109375" defaultRowHeight="12.75" x14ac:dyDescent="0.2"/>
  <cols>
    <col min="1" max="1" width="23.42578125" style="18" customWidth="1"/>
    <col min="2" max="2" width="8.7109375" style="18" customWidth="1"/>
    <col min="3" max="3" width="10.7109375" style="18" customWidth="1"/>
    <col min="4" max="8" width="8.7109375" style="18" customWidth="1"/>
    <col min="9" max="9" width="10.42578125" style="18" customWidth="1"/>
    <col min="10" max="10" width="8.7109375" style="18" customWidth="1"/>
    <col min="11" max="11" width="11.42578125" style="18" customWidth="1"/>
    <col min="12" max="12" width="9.7109375" style="18" customWidth="1"/>
    <col min="13" max="13" width="9.140625" style="18" customWidth="1"/>
    <col min="14" max="14" width="9.42578125" style="18" bestFit="1" customWidth="1"/>
    <col min="15" max="21" width="8.7109375" style="18" customWidth="1"/>
    <col min="22" max="22" width="13.140625" style="18" customWidth="1"/>
    <col min="23" max="23" width="13.42578125" style="18" customWidth="1"/>
    <col min="24" max="25" width="13.140625" style="18" customWidth="1"/>
    <col min="26" max="26" width="9.42578125" style="18" customWidth="1"/>
    <col min="27" max="27" width="12.85546875" style="18" customWidth="1"/>
    <col min="28" max="28" width="8.7109375" style="18"/>
    <col min="29" max="29" width="11.42578125" style="18" customWidth="1"/>
    <col min="30" max="31" width="8.7109375" style="18"/>
    <col min="32" max="32" width="12.42578125" style="18" customWidth="1"/>
    <col min="33" max="33" width="11.140625" style="18" customWidth="1"/>
    <col min="34" max="34" width="10.7109375" style="18" customWidth="1"/>
    <col min="35" max="35" width="10" style="18" customWidth="1"/>
    <col min="36" max="37" width="11.140625" style="18" customWidth="1"/>
    <col min="38" max="38" width="12.7109375" style="18" customWidth="1"/>
    <col min="39" max="39" width="11.140625" style="18" customWidth="1"/>
    <col min="40" max="40" width="10.7109375" style="18" customWidth="1"/>
    <col min="41" max="41" width="11.140625" style="18" customWidth="1"/>
    <col min="42" max="16384" width="8.7109375" style="18"/>
  </cols>
  <sheetData>
    <row r="1" spans="1:41" ht="15.75" x14ac:dyDescent="0.25">
      <c r="A1" s="17" t="s">
        <v>160</v>
      </c>
    </row>
    <row r="2" spans="1:41" ht="38.25" x14ac:dyDescent="0.2">
      <c r="A2" s="15" t="s">
        <v>591</v>
      </c>
      <c r="B2" s="77" t="s">
        <v>437</v>
      </c>
      <c r="C2" s="96" t="s">
        <v>438</v>
      </c>
      <c r="D2" s="96" t="s">
        <v>439</v>
      </c>
      <c r="E2" s="96" t="s">
        <v>288</v>
      </c>
      <c r="F2" s="96" t="s">
        <v>308</v>
      </c>
      <c r="G2" s="96" t="s">
        <v>309</v>
      </c>
      <c r="H2" s="96" t="s">
        <v>310</v>
      </c>
      <c r="I2" s="96" t="s">
        <v>271</v>
      </c>
      <c r="J2" s="96" t="s">
        <v>272</v>
      </c>
      <c r="K2" s="96" t="s">
        <v>273</v>
      </c>
      <c r="L2" s="96" t="s">
        <v>274</v>
      </c>
      <c r="M2" s="96" t="s">
        <v>275</v>
      </c>
      <c r="N2" s="96" t="s">
        <v>276</v>
      </c>
      <c r="O2" s="96" t="s">
        <v>277</v>
      </c>
      <c r="P2" s="96" t="s">
        <v>278</v>
      </c>
      <c r="Q2" s="96" t="s">
        <v>279</v>
      </c>
      <c r="R2" s="96" t="s">
        <v>317</v>
      </c>
      <c r="S2" s="96" t="s">
        <v>318</v>
      </c>
      <c r="T2" s="96" t="s">
        <v>319</v>
      </c>
      <c r="U2" s="96" t="s">
        <v>320</v>
      </c>
      <c r="V2" s="96" t="s">
        <v>321</v>
      </c>
      <c r="W2" s="96" t="s">
        <v>328</v>
      </c>
      <c r="X2" s="77" t="s">
        <v>433</v>
      </c>
      <c r="Y2" s="77" t="s">
        <v>434</v>
      </c>
      <c r="Z2" s="77" t="s">
        <v>307</v>
      </c>
      <c r="AA2" s="77" t="s">
        <v>436</v>
      </c>
      <c r="AB2" s="96" t="s">
        <v>426</v>
      </c>
      <c r="AC2" s="96" t="s">
        <v>427</v>
      </c>
      <c r="AD2" s="96" t="s">
        <v>428</v>
      </c>
      <c r="AE2" s="96" t="s">
        <v>510</v>
      </c>
      <c r="AF2" s="96" t="s">
        <v>511</v>
      </c>
      <c r="AG2" s="96" t="s">
        <v>164</v>
      </c>
      <c r="AH2" s="97" t="s">
        <v>114</v>
      </c>
      <c r="AI2" s="96" t="s">
        <v>165</v>
      </c>
      <c r="AJ2" s="96" t="s">
        <v>540</v>
      </c>
      <c r="AK2" s="96" t="s">
        <v>541</v>
      </c>
      <c r="AL2" s="96" t="s">
        <v>624</v>
      </c>
      <c r="AM2" s="97" t="s">
        <v>235</v>
      </c>
      <c r="AN2" s="97" t="s">
        <v>236</v>
      </c>
      <c r="AO2" s="96" t="s">
        <v>544</v>
      </c>
    </row>
    <row r="3" spans="1:41" x14ac:dyDescent="0.2">
      <c r="A3" s="2" t="s">
        <v>577</v>
      </c>
      <c r="B3" s="19">
        <v>112.23042844261063</v>
      </c>
      <c r="C3" s="19">
        <v>11.622455381419066</v>
      </c>
      <c r="D3" s="19">
        <v>1.1208589828598924E-2</v>
      </c>
      <c r="E3" s="19">
        <v>70.113579438884926</v>
      </c>
      <c r="F3" s="19">
        <v>3.2359747256909574E-3</v>
      </c>
      <c r="G3" s="19">
        <v>5.0503676496318439</v>
      </c>
      <c r="H3" s="19">
        <v>4.2863053932696488E-2</v>
      </c>
      <c r="I3" s="19">
        <v>9.9512287535666513</v>
      </c>
      <c r="J3" s="19">
        <v>0.10983443476058927</v>
      </c>
      <c r="K3" s="19">
        <v>93.171714865571715</v>
      </c>
      <c r="L3" s="19">
        <v>148.16035630132461</v>
      </c>
      <c r="M3" s="19">
        <v>0.17814228042053978</v>
      </c>
      <c r="N3" s="19">
        <v>45.851734215803425</v>
      </c>
      <c r="O3" s="19">
        <v>3.9596094993520209E-2</v>
      </c>
      <c r="P3" s="19">
        <v>0.42878505293807484</v>
      </c>
      <c r="Q3" s="19">
        <v>3.9277231068136985E-2</v>
      </c>
      <c r="R3" s="19">
        <v>5.3179391256207548E-2</v>
      </c>
      <c r="S3" s="19">
        <v>8.5911454698109513E-2</v>
      </c>
      <c r="T3" s="19">
        <v>33.492648474153391</v>
      </c>
      <c r="U3" s="19">
        <v>0.40235469098279847</v>
      </c>
      <c r="V3" s="19">
        <v>1.1926728373864892</v>
      </c>
      <c r="W3" s="19">
        <v>0.69529975898604623</v>
      </c>
      <c r="X3" s="19">
        <v>12.988251806888627</v>
      </c>
      <c r="Y3" s="19">
        <v>20.546457845847264</v>
      </c>
      <c r="Z3" s="19">
        <v>37.088766921560016</v>
      </c>
      <c r="AA3" s="19">
        <v>22.00160004354596</v>
      </c>
      <c r="AB3" s="19">
        <v>3.1083281336970154E-4</v>
      </c>
      <c r="AC3" s="19">
        <v>3.1336320654532505E-4</v>
      </c>
      <c r="AD3" s="19">
        <v>2.2115538871651154E-4</v>
      </c>
      <c r="AE3" s="19">
        <v>0.3876150533985519</v>
      </c>
      <c r="AF3" s="19">
        <v>7.0814786840916956E-6</v>
      </c>
      <c r="AG3" s="19">
        <v>3.2395639876311652E-3</v>
      </c>
      <c r="AH3" s="19">
        <v>33.155203072071764</v>
      </c>
      <c r="AI3" s="19">
        <v>0</v>
      </c>
      <c r="AJ3" s="19">
        <v>3.4395753608445367E-5</v>
      </c>
      <c r="AK3" s="19">
        <v>1.6860663533551655E-7</v>
      </c>
      <c r="AL3" s="19">
        <v>0</v>
      </c>
      <c r="AM3" s="19">
        <v>1.9052549792913371E-5</v>
      </c>
      <c r="AN3" s="19">
        <v>2.595776898732953E-4</v>
      </c>
      <c r="AO3" s="19">
        <v>2.2115538871651154E-4</v>
      </c>
    </row>
    <row r="4" spans="1:41" x14ac:dyDescent="0.2">
      <c r="A4" s="3" t="s">
        <v>327</v>
      </c>
      <c r="B4" s="19">
        <v>120.69312315737507</v>
      </c>
      <c r="C4" s="19">
        <v>6.1954795115170853</v>
      </c>
      <c r="D4" s="19">
        <v>1.2320879385623989E-2</v>
      </c>
      <c r="E4" s="19">
        <v>47.725630633385819</v>
      </c>
      <c r="F4" s="19">
        <v>1.7380488679481216E-3</v>
      </c>
      <c r="G4" s="19">
        <v>5.1964570701245014</v>
      </c>
      <c r="H4" s="19">
        <v>3.2692664045343045E-2</v>
      </c>
      <c r="I4" s="19">
        <v>11.19766911605802</v>
      </c>
      <c r="J4" s="19">
        <v>9.1230434291053625E-2</v>
      </c>
      <c r="K4" s="19">
        <v>96.825028161490792</v>
      </c>
      <c r="L4" s="19">
        <v>153.65140464140339</v>
      </c>
      <c r="M4" s="19">
        <v>0.18014278365677583</v>
      </c>
      <c r="N4" s="19">
        <v>42.996347899983327</v>
      </c>
      <c r="O4" s="19">
        <v>3.6832977913886233E-2</v>
      </c>
      <c r="P4" s="19">
        <v>0.46901453664167786</v>
      </c>
      <c r="Q4" s="19">
        <v>4.003719811355988E-2</v>
      </c>
      <c r="R4" s="19">
        <v>0.18883925441789504</v>
      </c>
      <c r="S4" s="19">
        <v>2.3268529197882658E-2</v>
      </c>
      <c r="T4" s="19">
        <v>53.646311331936872</v>
      </c>
      <c r="U4" s="19">
        <v>0.44172046843707069</v>
      </c>
      <c r="V4" s="19">
        <v>0.38735706429950933</v>
      </c>
      <c r="W4" s="19">
        <v>7.7306817717444964E-2</v>
      </c>
      <c r="X4" s="19">
        <v>13.527710204864565</v>
      </c>
      <c r="Y4" s="19">
        <v>21.358982670142531</v>
      </c>
      <c r="Z4" s="19">
        <v>12.723778370067787</v>
      </c>
      <c r="AA4" s="19">
        <v>8.2257649955174212</v>
      </c>
      <c r="AB4" s="19">
        <v>0</v>
      </c>
      <c r="AC4" s="19">
        <v>0</v>
      </c>
      <c r="AD4" s="19">
        <v>1.5212352126568222E-3</v>
      </c>
      <c r="AE4" s="19">
        <v>0.40955079103796094</v>
      </c>
      <c r="AF4" s="19">
        <v>0</v>
      </c>
      <c r="AG4" s="19">
        <v>0</v>
      </c>
      <c r="AH4" s="19">
        <v>12.071947081908959</v>
      </c>
      <c r="AI4" s="19">
        <v>0</v>
      </c>
      <c r="AJ4" s="19">
        <v>0</v>
      </c>
      <c r="AK4" s="19">
        <v>0</v>
      </c>
      <c r="AL4" s="19">
        <v>0</v>
      </c>
      <c r="AM4" s="19">
        <v>0</v>
      </c>
      <c r="AN4" s="19">
        <v>0</v>
      </c>
      <c r="AO4" s="19">
        <v>1.5212352126568222E-3</v>
      </c>
    </row>
    <row r="5" spans="1:41" x14ac:dyDescent="0.2">
      <c r="A5" s="2" t="s">
        <v>29</v>
      </c>
      <c r="B5" s="19">
        <v>572.33818364873628</v>
      </c>
      <c r="C5" s="19">
        <v>70.917583798769201</v>
      </c>
      <c r="D5" s="19">
        <v>5.1986297594638395E-2</v>
      </c>
      <c r="E5" s="19">
        <v>307.15130743251393</v>
      </c>
      <c r="F5" s="19">
        <v>2.7333395066092912E-2</v>
      </c>
      <c r="G5" s="19">
        <v>12.139387969815381</v>
      </c>
      <c r="H5" s="19">
        <v>0.50202020214042398</v>
      </c>
      <c r="I5" s="19">
        <v>26.008186782293592</v>
      </c>
      <c r="J5" s="19">
        <v>0.16306267693832999</v>
      </c>
      <c r="K5" s="19">
        <v>468.78140628687834</v>
      </c>
      <c r="L5" s="19">
        <v>172.98568943763686</v>
      </c>
      <c r="M5" s="19">
        <v>0.38986635573771855</v>
      </c>
      <c r="N5" s="19">
        <v>916.19215140360893</v>
      </c>
      <c r="O5" s="19">
        <v>5.0741176492701087E-2</v>
      </c>
      <c r="P5" s="19">
        <v>1.0941846682573331</v>
      </c>
      <c r="Q5" s="19">
        <v>7.7368403582720374E-2</v>
      </c>
      <c r="R5" s="19">
        <v>8.9196744332397909E-2</v>
      </c>
      <c r="S5" s="19">
        <v>0.2328301987026051</v>
      </c>
      <c r="T5" s="19">
        <v>182.97593777330067</v>
      </c>
      <c r="U5" s="19">
        <v>2.7630529754620117</v>
      </c>
      <c r="V5" s="19">
        <v>5.0096101681518102</v>
      </c>
      <c r="W5" s="19">
        <v>1.939162234667404</v>
      </c>
      <c r="X5" s="19">
        <v>83.631415360250045</v>
      </c>
      <c r="Y5" s="19">
        <v>19.90605094961132</v>
      </c>
      <c r="Z5" s="19">
        <v>203.36636106410097</v>
      </c>
      <c r="AA5" s="19">
        <v>125.38108989445172</v>
      </c>
      <c r="AB5" s="19">
        <v>2.3444345622446006E-2</v>
      </c>
      <c r="AC5" s="19">
        <v>2.2821350309124603E-3</v>
      </c>
      <c r="AD5" s="19">
        <v>2.1437355251122984E-4</v>
      </c>
      <c r="AE5" s="19">
        <v>1.8262632371236451</v>
      </c>
      <c r="AF5" s="19">
        <v>4.7738993251562074E-3</v>
      </c>
      <c r="AG5" s="19">
        <v>1.3673036954425732E-3</v>
      </c>
      <c r="AH5" s="19">
        <v>169.38181692396799</v>
      </c>
      <c r="AI5" s="19">
        <v>0</v>
      </c>
      <c r="AJ5" s="19">
        <v>0</v>
      </c>
      <c r="AK5" s="19">
        <v>0</v>
      </c>
      <c r="AL5" s="19">
        <v>0</v>
      </c>
      <c r="AM5" s="19">
        <v>0</v>
      </c>
      <c r="AN5" s="19">
        <v>2.2967799493192735E-3</v>
      </c>
      <c r="AO5" s="19">
        <v>2.1437355251122984E-4</v>
      </c>
    </row>
    <row r="6" spans="1:41" x14ac:dyDescent="0.2">
      <c r="A6" s="3" t="s">
        <v>60</v>
      </c>
      <c r="B6" s="19">
        <v>115.78220425721113</v>
      </c>
      <c r="C6" s="19">
        <v>20.878579580253536</v>
      </c>
      <c r="D6" s="19">
        <v>6.1402609528616751E-2</v>
      </c>
      <c r="E6" s="19">
        <v>131.46211247780744</v>
      </c>
      <c r="F6" s="19">
        <v>0.57918424732290696</v>
      </c>
      <c r="G6" s="19">
        <v>8.9645929520169965</v>
      </c>
      <c r="H6" s="19">
        <v>0.32785501821492058</v>
      </c>
      <c r="I6" s="19">
        <v>15.716036537145463</v>
      </c>
      <c r="J6" s="19">
        <v>0.32196241662278424</v>
      </c>
      <c r="K6" s="19">
        <v>98.881032697992651</v>
      </c>
      <c r="L6" s="19">
        <v>174.27012802213716</v>
      </c>
      <c r="M6" s="19">
        <v>0.1903858887526674</v>
      </c>
      <c r="N6" s="19">
        <v>64.518812159470414</v>
      </c>
      <c r="O6" s="19">
        <v>5.028315530310163E-2</v>
      </c>
      <c r="P6" s="19">
        <v>0.36561404734534197</v>
      </c>
      <c r="Q6" s="19">
        <v>6.3095999065019268E-2</v>
      </c>
      <c r="R6" s="19">
        <v>1.4684369717929986</v>
      </c>
      <c r="S6" s="19">
        <v>0.24544237160932714</v>
      </c>
      <c r="T6" s="19">
        <v>72.112575590993615</v>
      </c>
      <c r="U6" s="19">
        <v>0.58998019671858026</v>
      </c>
      <c r="V6" s="19">
        <v>2.182918615228115</v>
      </c>
      <c r="W6" s="19">
        <v>0.79133340901706894</v>
      </c>
      <c r="X6" s="19">
        <v>13.457364653035558</v>
      </c>
      <c r="Y6" s="19">
        <v>68.491677924847522</v>
      </c>
      <c r="Z6" s="19">
        <v>52.687795289217426</v>
      </c>
      <c r="AA6" s="19">
        <v>31.359548615451679</v>
      </c>
      <c r="AB6" s="19">
        <v>7.304633146829706E-2</v>
      </c>
      <c r="AC6" s="19">
        <v>8.2409718848543506E-5</v>
      </c>
      <c r="AD6" s="19">
        <v>1.6916301877063662E-3</v>
      </c>
      <c r="AE6" s="19">
        <v>0.29878588080020141</v>
      </c>
      <c r="AF6" s="19">
        <v>1.7211526910334039E-2</v>
      </c>
      <c r="AG6" s="19">
        <v>0.1577615014080796</v>
      </c>
      <c r="AH6" s="19">
        <v>82.950693677561475</v>
      </c>
      <c r="AI6" s="19">
        <v>1.7222980002643787E-3</v>
      </c>
      <c r="AJ6" s="19">
        <v>0</v>
      </c>
      <c r="AK6" s="19">
        <v>0</v>
      </c>
      <c r="AL6" s="19">
        <v>0</v>
      </c>
      <c r="AM6" s="19">
        <v>8.2409718848543506E-5</v>
      </c>
      <c r="AN6" s="19">
        <v>0</v>
      </c>
      <c r="AO6" s="19">
        <v>1.6916301877063662E-3</v>
      </c>
    </row>
    <row r="7" spans="1:41" x14ac:dyDescent="0.2">
      <c r="A7" s="3" t="s">
        <v>61</v>
      </c>
      <c r="B7" s="19">
        <v>107.32702295820097</v>
      </c>
      <c r="C7" s="19">
        <v>5.0785970042131607</v>
      </c>
      <c r="D7" s="19">
        <v>0.11858110587878957</v>
      </c>
      <c r="E7" s="19">
        <v>92.567217263956209</v>
      </c>
      <c r="F7" s="19">
        <v>0.62888412123861193</v>
      </c>
      <c r="G7" s="19">
        <v>15.898146844800413</v>
      </c>
      <c r="H7" s="19">
        <v>0.81324766568085782</v>
      </c>
      <c r="I7" s="19">
        <v>23.186155055310447</v>
      </c>
      <c r="J7" s="19">
        <v>0.7716387036018294</v>
      </c>
      <c r="K7" s="19">
        <v>101.27396546612133</v>
      </c>
      <c r="L7" s="19">
        <v>184.16347114121015</v>
      </c>
      <c r="M7" s="19">
        <v>0.17612675304633485</v>
      </c>
      <c r="N7" s="19">
        <v>51.569426190864931</v>
      </c>
      <c r="O7" s="19">
        <v>8.9631652588779295E-2</v>
      </c>
      <c r="P7" s="19">
        <v>0.40088120117208659</v>
      </c>
      <c r="Q7" s="19">
        <v>9.4795394315507375E-2</v>
      </c>
      <c r="R7" s="19">
        <v>2.6532797440007343</v>
      </c>
      <c r="S7" s="19">
        <v>0.56485652171729672</v>
      </c>
      <c r="T7" s="19">
        <v>69.187804235004293</v>
      </c>
      <c r="U7" s="19">
        <v>0.81361833329120614</v>
      </c>
      <c r="V7" s="19">
        <v>1.7106270350816488</v>
      </c>
      <c r="W7" s="19">
        <v>0.24051001050770038</v>
      </c>
      <c r="X7" s="19">
        <v>14.720632549632771</v>
      </c>
      <c r="Y7" s="19">
        <v>63.320460790101983</v>
      </c>
      <c r="Z7" s="19">
        <v>15.789320485636166</v>
      </c>
      <c r="AA7" s="19">
        <v>8.1903002038190209</v>
      </c>
      <c r="AB7" s="19">
        <v>5.4538948130033425E-2</v>
      </c>
      <c r="AC7" s="19">
        <v>0</v>
      </c>
      <c r="AD7" s="19">
        <v>1.2521548598584576E-2</v>
      </c>
      <c r="AE7" s="19">
        <v>0.33660312574212409</v>
      </c>
      <c r="AF7" s="19">
        <v>2.0700592771601023E-2</v>
      </c>
      <c r="AG7" s="19">
        <v>0.30588934540313822</v>
      </c>
      <c r="AH7" s="19">
        <v>40.554346159979453</v>
      </c>
      <c r="AI7" s="19">
        <v>0</v>
      </c>
      <c r="AJ7" s="19">
        <v>0</v>
      </c>
      <c r="AK7" s="19">
        <v>0</v>
      </c>
      <c r="AL7" s="19">
        <v>0</v>
      </c>
      <c r="AM7" s="19">
        <v>0</v>
      </c>
      <c r="AN7" s="19">
        <v>0</v>
      </c>
      <c r="AO7" s="19">
        <v>1.2521548598584576E-2</v>
      </c>
    </row>
    <row r="8" spans="1:41" x14ac:dyDescent="0.2">
      <c r="A8" s="3" t="s">
        <v>425</v>
      </c>
      <c r="B8" s="19">
        <v>24.083714744866626</v>
      </c>
      <c r="C8" s="19">
        <v>89.172742572081702</v>
      </c>
      <c r="D8" s="19">
        <v>7.9495181098386145E-2</v>
      </c>
      <c r="E8" s="19">
        <v>277.68168334849071</v>
      </c>
      <c r="F8" s="19">
        <v>6.4039981051008388E-3</v>
      </c>
      <c r="G8" s="19">
        <v>9.7467800861729792</v>
      </c>
      <c r="H8" s="19">
        <v>2.3793095254844321</v>
      </c>
      <c r="I8" s="19">
        <v>19.584724863561217</v>
      </c>
      <c r="J8" s="19">
        <v>4.697136839833294</v>
      </c>
      <c r="K8" s="19">
        <v>187.17738016350296</v>
      </c>
      <c r="L8" s="19">
        <v>288.16726382162301</v>
      </c>
      <c r="M8" s="19">
        <v>0.17959061626250628</v>
      </c>
      <c r="N8" s="19">
        <v>101.63969305025755</v>
      </c>
      <c r="O8" s="19">
        <v>6.4158612915593952E-2</v>
      </c>
      <c r="P8" s="19">
        <v>2.6353887951070671</v>
      </c>
      <c r="Q8" s="19">
        <v>0.34081418267408292</v>
      </c>
      <c r="R8" s="19">
        <v>2.4410124037260797E-2</v>
      </c>
      <c r="S8" s="19">
        <v>0.42842618325198761</v>
      </c>
      <c r="T8" s="19">
        <v>3.2767452927938062E-2</v>
      </c>
      <c r="U8" s="19">
        <v>5.9645441785954647</v>
      </c>
      <c r="V8" s="19">
        <v>4.1190641507219317</v>
      </c>
      <c r="W8" s="19">
        <v>0.72550398574848374</v>
      </c>
      <c r="X8" s="19">
        <v>100.41310981363242</v>
      </c>
      <c r="Y8" s="19">
        <v>0.43276351165577798</v>
      </c>
      <c r="Z8" s="19">
        <v>170.034426284777</v>
      </c>
      <c r="AA8" s="19">
        <v>66.095500303241792</v>
      </c>
      <c r="AB8" s="19">
        <v>6.6872036388806524E-3</v>
      </c>
      <c r="AC8" s="19">
        <v>4.2067886254003679E-5</v>
      </c>
      <c r="AD8" s="19">
        <v>0</v>
      </c>
      <c r="AE8" s="19">
        <v>0</v>
      </c>
      <c r="AF8" s="19">
        <v>3.1411543369558625</v>
      </c>
      <c r="AG8" s="19">
        <v>1.00019918750304E-3</v>
      </c>
      <c r="AH8" s="19">
        <v>81.177944581451399</v>
      </c>
      <c r="AI8" s="19">
        <v>0</v>
      </c>
      <c r="AJ8" s="19">
        <v>0</v>
      </c>
      <c r="AK8" s="19">
        <v>0</v>
      </c>
      <c r="AL8" s="19">
        <v>0</v>
      </c>
      <c r="AM8" s="19">
        <v>0</v>
      </c>
      <c r="AN8" s="19">
        <v>4.2067886254003679E-5</v>
      </c>
      <c r="AO8" s="19">
        <v>0</v>
      </c>
    </row>
    <row r="9" spans="1:41" x14ac:dyDescent="0.2">
      <c r="A9" s="3" t="s">
        <v>324</v>
      </c>
      <c r="B9" s="19">
        <v>17.374487454555947</v>
      </c>
      <c r="C9" s="19">
        <v>88.070976157041514</v>
      </c>
      <c r="D9" s="19">
        <v>0.11585385755450536</v>
      </c>
      <c r="E9" s="19">
        <v>322.90938384562884</v>
      </c>
      <c r="F9" s="19">
        <v>0.13056336431765639</v>
      </c>
      <c r="G9" s="19">
        <v>12.242426387288946</v>
      </c>
      <c r="H9" s="19">
        <v>2.1785442486556699</v>
      </c>
      <c r="I9" s="19">
        <v>26.367833397380465</v>
      </c>
      <c r="J9" s="19">
        <v>5.0937860243103676</v>
      </c>
      <c r="K9" s="19">
        <v>258.69828813586804</v>
      </c>
      <c r="L9" s="19">
        <v>383.80678781932579</v>
      </c>
      <c r="M9" s="19">
        <v>0.25103159876503023</v>
      </c>
      <c r="N9" s="19">
        <v>518.81832607529429</v>
      </c>
      <c r="O9" s="19">
        <v>0.29088834959919607</v>
      </c>
      <c r="P9" s="19">
        <v>1.8194498378623698</v>
      </c>
      <c r="Q9" s="19">
        <v>0.34193771807900819</v>
      </c>
      <c r="R9" s="19">
        <v>0.17975579360886859</v>
      </c>
      <c r="S9" s="19">
        <v>0.25867246361272966</v>
      </c>
      <c r="T9" s="19">
        <v>3.2569906637599435</v>
      </c>
      <c r="U9" s="19">
        <v>4.3559037269034304</v>
      </c>
      <c r="V9" s="19">
        <v>14.079520317004031</v>
      </c>
      <c r="W9" s="19">
        <v>1.5814002526167925</v>
      </c>
      <c r="X9" s="19">
        <v>117.20946177160796</v>
      </c>
      <c r="Y9" s="19">
        <v>7.2167527216361265</v>
      </c>
      <c r="Z9" s="19">
        <v>190.33311858963765</v>
      </c>
      <c r="AA9" s="19">
        <v>69.407278226556897</v>
      </c>
      <c r="AB9" s="19">
        <v>8.052070219643151E-2</v>
      </c>
      <c r="AC9" s="19">
        <v>2.4292837301503922E-4</v>
      </c>
      <c r="AD9" s="19">
        <v>0</v>
      </c>
      <c r="AE9" s="19">
        <v>1.5699387553754604E-3</v>
      </c>
      <c r="AF9" s="19">
        <v>2.9136140481372683</v>
      </c>
      <c r="AG9" s="19">
        <v>0.29899956312881226</v>
      </c>
      <c r="AH9" s="19">
        <v>105.8551100011566</v>
      </c>
      <c r="AI9" s="19">
        <v>1.4765776014341717E-3</v>
      </c>
      <c r="AJ9" s="19">
        <v>0</v>
      </c>
      <c r="AK9" s="19">
        <v>0</v>
      </c>
      <c r="AL9" s="19">
        <v>0</v>
      </c>
      <c r="AM9" s="19">
        <v>0</v>
      </c>
      <c r="AN9" s="19">
        <v>2.4292837301503922E-4</v>
      </c>
      <c r="AO9" s="19">
        <v>0</v>
      </c>
    </row>
    <row r="10" spans="1:41" x14ac:dyDescent="0.2">
      <c r="A10" s="3" t="s">
        <v>616</v>
      </c>
      <c r="B10" s="19">
        <v>18.075269731667284</v>
      </c>
      <c r="C10" s="19">
        <v>74.643058632682326</v>
      </c>
      <c r="D10" s="19">
        <v>0.33594144294310657</v>
      </c>
      <c r="E10" s="19">
        <v>177.45218231496858</v>
      </c>
      <c r="F10" s="19">
        <v>0.140005111978107</v>
      </c>
      <c r="G10" s="19">
        <v>11.02272794575279</v>
      </c>
      <c r="H10" s="19">
        <v>1.7840788848841311</v>
      </c>
      <c r="I10" s="19">
        <v>21.396138635500034</v>
      </c>
      <c r="J10" s="19">
        <v>5.5925227240011059</v>
      </c>
      <c r="K10" s="19">
        <v>232.49550287855882</v>
      </c>
      <c r="L10" s="19">
        <v>339.38079607327853</v>
      </c>
      <c r="M10" s="19">
        <v>0.35906923688893605</v>
      </c>
      <c r="N10" s="19">
        <v>890.9991220223784</v>
      </c>
      <c r="O10" s="19">
        <v>0.58544049237756224</v>
      </c>
      <c r="P10" s="19">
        <v>2.0208093603238813</v>
      </c>
      <c r="Q10" s="19">
        <v>0.37991210381613055</v>
      </c>
      <c r="R10" s="19">
        <v>0.17305898469690256</v>
      </c>
      <c r="S10" s="19">
        <v>0.3997444760612387</v>
      </c>
      <c r="T10" s="19">
        <v>110.39403174143813</v>
      </c>
      <c r="U10" s="19">
        <v>2.8389827393122609</v>
      </c>
      <c r="V10" s="19">
        <v>9.4354417972020563</v>
      </c>
      <c r="W10" s="19">
        <v>1.3157911596123524</v>
      </c>
      <c r="X10" s="19">
        <v>94.439271426410599</v>
      </c>
      <c r="Y10" s="19">
        <v>9.1342210245974105</v>
      </c>
      <c r="Z10" s="19">
        <v>67.562010731653444</v>
      </c>
      <c r="AA10" s="19">
        <v>21.438876237626737</v>
      </c>
      <c r="AB10" s="19">
        <v>0.14819814531994152</v>
      </c>
      <c r="AC10" s="19">
        <v>2.7882234493867302E-4</v>
      </c>
      <c r="AD10" s="19">
        <v>0</v>
      </c>
      <c r="AE10" s="19">
        <v>2.4166521368201014E-4</v>
      </c>
      <c r="AF10" s="19">
        <v>3.3166811643669565</v>
      </c>
      <c r="AG10" s="19">
        <v>0.76322000811243751</v>
      </c>
      <c r="AH10" s="19">
        <v>6.0730071873882956</v>
      </c>
      <c r="AI10" s="19">
        <v>0</v>
      </c>
      <c r="AJ10" s="19">
        <v>0</v>
      </c>
      <c r="AK10" s="19">
        <v>0</v>
      </c>
      <c r="AL10" s="19">
        <v>0</v>
      </c>
      <c r="AM10" s="19">
        <v>0</v>
      </c>
      <c r="AN10" s="19">
        <v>2.7882234493867302E-4</v>
      </c>
      <c r="AO10" s="19">
        <v>0</v>
      </c>
    </row>
    <row r="11" spans="1:41" x14ac:dyDescent="0.2">
      <c r="A11" s="3" t="s">
        <v>617</v>
      </c>
      <c r="B11" s="19">
        <v>13.226704413340041</v>
      </c>
      <c r="C11" s="19">
        <v>84.345684421581439</v>
      </c>
      <c r="D11" s="19">
        <v>0.11377059105889582</v>
      </c>
      <c r="E11" s="19">
        <v>212.97543275262151</v>
      </c>
      <c r="F11" s="19">
        <v>4.3612637383122918E-2</v>
      </c>
      <c r="G11" s="19">
        <v>9.2998986048783649</v>
      </c>
      <c r="H11" s="19">
        <v>2.4300472128727573</v>
      </c>
      <c r="I11" s="19">
        <v>28.146257203595944</v>
      </c>
      <c r="J11" s="19">
        <v>5.149989048817142</v>
      </c>
      <c r="K11" s="19">
        <v>237.86189286853434</v>
      </c>
      <c r="L11" s="19">
        <v>407.53496628573413</v>
      </c>
      <c r="M11" s="19">
        <v>0.28829911263002317</v>
      </c>
      <c r="N11" s="19">
        <v>76.709027324547435</v>
      </c>
      <c r="O11" s="19">
        <v>0.33885254795130049</v>
      </c>
      <c r="P11" s="19">
        <v>2.110284805760215</v>
      </c>
      <c r="Q11" s="19">
        <v>0.45054783823688194</v>
      </c>
      <c r="R11" s="19">
        <v>0.1747453388828146</v>
      </c>
      <c r="S11" s="19">
        <v>0.21777776315718447</v>
      </c>
      <c r="T11" s="19">
        <v>1.1218815516671345</v>
      </c>
      <c r="U11" s="19">
        <v>4.9137083031291864</v>
      </c>
      <c r="V11" s="19">
        <v>6.3086483409579026</v>
      </c>
      <c r="W11" s="19">
        <v>0.54531030300919592</v>
      </c>
      <c r="X11" s="19">
        <v>118.09610770353676</v>
      </c>
      <c r="Y11" s="19">
        <v>2.9773270218612966</v>
      </c>
      <c r="Z11" s="19">
        <v>83.67576595744427</v>
      </c>
      <c r="AA11" s="19">
        <v>30.198239716515317</v>
      </c>
      <c r="AB11" s="19">
        <v>5.4702607904173015E-2</v>
      </c>
      <c r="AC11" s="19">
        <v>0</v>
      </c>
      <c r="AD11" s="19">
        <v>0</v>
      </c>
      <c r="AE11" s="19">
        <v>4.5690452712747139E-4</v>
      </c>
      <c r="AF11" s="19">
        <v>3.4221179119266543</v>
      </c>
      <c r="AG11" s="19">
        <v>0.28069591381768777</v>
      </c>
      <c r="AH11" s="19">
        <v>12.37722032520788</v>
      </c>
      <c r="AI11" s="19">
        <v>0</v>
      </c>
      <c r="AJ11" s="19">
        <v>0</v>
      </c>
      <c r="AK11" s="19">
        <v>0</v>
      </c>
      <c r="AL11" s="19">
        <v>0</v>
      </c>
      <c r="AM11" s="19">
        <v>0</v>
      </c>
      <c r="AN11" s="19">
        <v>0</v>
      </c>
      <c r="AO11" s="19">
        <v>0</v>
      </c>
    </row>
    <row r="12" spans="1:41" x14ac:dyDescent="0.2">
      <c r="A12" s="3" t="s">
        <v>562</v>
      </c>
      <c r="B12" s="19">
        <v>53.444573434164305</v>
      </c>
      <c r="C12" s="19">
        <v>81.51411577607378</v>
      </c>
      <c r="D12" s="19">
        <v>0.26711444309993526</v>
      </c>
      <c r="E12" s="19">
        <v>215.39446923490854</v>
      </c>
      <c r="F12" s="19">
        <v>0.49109779914833612</v>
      </c>
      <c r="G12" s="19">
        <v>26.141132204119973</v>
      </c>
      <c r="H12" s="19">
        <v>1.0253162316744007</v>
      </c>
      <c r="I12" s="19">
        <v>31.363213742455471</v>
      </c>
      <c r="J12" s="19">
        <v>2.4960784014723734</v>
      </c>
      <c r="K12" s="19">
        <v>203.06366810274059</v>
      </c>
      <c r="L12" s="19">
        <v>284.73825861801112</v>
      </c>
      <c r="M12" s="19">
        <v>0.16840384577975925</v>
      </c>
      <c r="N12" s="19">
        <v>209.97219228602233</v>
      </c>
      <c r="O12" s="19">
        <v>0.21205995622105353</v>
      </c>
      <c r="P12" s="19">
        <v>2.3069565036305484</v>
      </c>
      <c r="Q12" s="19">
        <v>0.15197559549300213</v>
      </c>
      <c r="R12" s="19">
        <v>0.68338636795455576</v>
      </c>
      <c r="S12" s="19">
        <v>1.0698411303995179</v>
      </c>
      <c r="T12" s="19">
        <v>32.370871536496857</v>
      </c>
      <c r="U12" s="19">
        <v>1.9245102144453641</v>
      </c>
      <c r="V12" s="19">
        <v>24.411508030418112</v>
      </c>
      <c r="W12" s="19">
        <v>2.3029198433779876</v>
      </c>
      <c r="X12" s="19">
        <v>63.802089929432277</v>
      </c>
      <c r="Y12" s="19">
        <v>38.577545905066103</v>
      </c>
      <c r="Z12" s="19">
        <v>109.090325062909</v>
      </c>
      <c r="AA12" s="19">
        <v>24.551850761215629</v>
      </c>
      <c r="AB12" s="19">
        <v>0.63246414721807775</v>
      </c>
      <c r="AC12" s="19">
        <v>2.5645356171805412E-3</v>
      </c>
      <c r="AD12" s="19">
        <v>4.8333646795204409E-4</v>
      </c>
      <c r="AE12" s="19">
        <v>4.0788351455656138E-2</v>
      </c>
      <c r="AF12" s="19">
        <v>2.3592306069957494</v>
      </c>
      <c r="AG12" s="19">
        <v>0.35665120312742071</v>
      </c>
      <c r="AH12" s="19">
        <v>60.945158275110202</v>
      </c>
      <c r="AI12" s="19">
        <v>0</v>
      </c>
      <c r="AJ12" s="19">
        <v>1.2249394010017584E-4</v>
      </c>
      <c r="AK12" s="19">
        <v>0</v>
      </c>
      <c r="AL12" s="19">
        <v>0</v>
      </c>
      <c r="AM12" s="19">
        <v>0</v>
      </c>
      <c r="AN12" s="19">
        <v>2.4420416770803651E-3</v>
      </c>
      <c r="AO12" s="19">
        <v>4.8333646795204409E-4</v>
      </c>
    </row>
    <row r="13" spans="1:41" x14ac:dyDescent="0.2">
      <c r="A13" s="3" t="s">
        <v>571</v>
      </c>
      <c r="B13" s="19">
        <v>49.489656392448254</v>
      </c>
      <c r="C13" s="19">
        <v>93.344076338717258</v>
      </c>
      <c r="D13" s="19">
        <v>0.12571764109080422</v>
      </c>
      <c r="E13" s="19">
        <v>211.91146204817332</v>
      </c>
      <c r="F13" s="19">
        <v>0.31610337076870276</v>
      </c>
      <c r="G13" s="19">
        <v>21.452701629085521</v>
      </c>
      <c r="H13" s="19">
        <v>1.5057111750324419</v>
      </c>
      <c r="I13" s="19">
        <v>35.635052895250311</v>
      </c>
      <c r="J13" s="19">
        <v>3.7736854506244724</v>
      </c>
      <c r="K13" s="19">
        <v>258.80800690244223</v>
      </c>
      <c r="L13" s="19">
        <v>339.0319476444418</v>
      </c>
      <c r="M13" s="19">
        <v>0.12872486723178872</v>
      </c>
      <c r="N13" s="19">
        <v>135.59369777845609</v>
      </c>
      <c r="O13" s="19">
        <v>0.17801370051161719</v>
      </c>
      <c r="P13" s="19">
        <v>1.9917363569448483</v>
      </c>
      <c r="Q13" s="19">
        <v>0.2201604821809017</v>
      </c>
      <c r="R13" s="19">
        <v>1.6194712787938161</v>
      </c>
      <c r="S13" s="19">
        <v>1.2238937385120197</v>
      </c>
      <c r="T13" s="19">
        <v>45.587748109905796</v>
      </c>
      <c r="U13" s="19">
        <v>1.0214998988548725</v>
      </c>
      <c r="V13" s="19">
        <v>25.131280916160691</v>
      </c>
      <c r="W13" s="19">
        <v>2.7868242691397436</v>
      </c>
      <c r="X13" s="19">
        <v>81.951352645017749</v>
      </c>
      <c r="Y13" s="19">
        <v>26.271244286939414</v>
      </c>
      <c r="Z13" s="19">
        <v>99.035576265493958</v>
      </c>
      <c r="AA13" s="19">
        <v>19.882265775121265</v>
      </c>
      <c r="AB13" s="19">
        <v>0.47669379128492811</v>
      </c>
      <c r="AC13" s="19">
        <v>0</v>
      </c>
      <c r="AD13" s="19">
        <v>5.3342006442578188E-3</v>
      </c>
      <c r="AE13" s="19">
        <v>6.560331002885676E-3</v>
      </c>
      <c r="AF13" s="19">
        <v>2.7932384087922224</v>
      </c>
      <c r="AG13" s="19">
        <v>0.19583906282578073</v>
      </c>
      <c r="AH13" s="19">
        <v>54.507617798338067</v>
      </c>
      <c r="AI13" s="19">
        <v>0</v>
      </c>
      <c r="AJ13" s="19">
        <v>0</v>
      </c>
      <c r="AK13" s="19">
        <v>0</v>
      </c>
      <c r="AL13" s="19">
        <v>0</v>
      </c>
      <c r="AM13" s="19">
        <v>0</v>
      </c>
      <c r="AN13" s="19">
        <v>0</v>
      </c>
      <c r="AO13" s="19">
        <v>5.3342006442578188E-3</v>
      </c>
    </row>
    <row r="14" spans="1:41" x14ac:dyDescent="0.2">
      <c r="A14" s="3" t="s">
        <v>450</v>
      </c>
      <c r="B14" s="19">
        <v>37.745232142171062</v>
      </c>
      <c r="C14" s="19">
        <v>19.377341485609207</v>
      </c>
      <c r="D14" s="19">
        <v>6.4236626706950239E-2</v>
      </c>
      <c r="E14" s="19">
        <v>81.653863733004684</v>
      </c>
      <c r="F14" s="19">
        <v>0.31629080732622794</v>
      </c>
      <c r="G14" s="19">
        <v>8.1019378997169333</v>
      </c>
      <c r="H14" s="19">
        <v>0.93180771899003545</v>
      </c>
      <c r="I14" s="19">
        <v>17.500907616716873</v>
      </c>
      <c r="J14" s="19">
        <v>4.7686136649726709</v>
      </c>
      <c r="K14" s="19">
        <v>106.70913594088179</v>
      </c>
      <c r="L14" s="19">
        <v>187.9011733125742</v>
      </c>
      <c r="M14" s="19">
        <v>7.6718809951105318E-2</v>
      </c>
      <c r="N14" s="19">
        <v>313.30506041223913</v>
      </c>
      <c r="O14" s="19">
        <v>3.4550561143684752E-2</v>
      </c>
      <c r="P14" s="19">
        <v>2.7059231479069328</v>
      </c>
      <c r="Q14" s="19">
        <v>0.15437025608581692</v>
      </c>
      <c r="R14" s="19">
        <v>1.5832139185495155</v>
      </c>
      <c r="S14" s="19">
        <v>0.37007336161740034</v>
      </c>
      <c r="T14" s="19">
        <v>20.454554507802907</v>
      </c>
      <c r="U14" s="19">
        <v>0.48176327026980431</v>
      </c>
      <c r="V14" s="19">
        <v>2.8652168145218382</v>
      </c>
      <c r="W14" s="19">
        <v>0.27083348679034519</v>
      </c>
      <c r="X14" s="19">
        <v>47.323914348297805</v>
      </c>
      <c r="Y14" s="19">
        <v>13.273104531622357</v>
      </c>
      <c r="Z14" s="19">
        <v>18.666086760941493</v>
      </c>
      <c r="AA14" s="19">
        <v>5.7382519629967961</v>
      </c>
      <c r="AB14" s="19">
        <v>0.10869625879639552</v>
      </c>
      <c r="AC14" s="19">
        <v>0.10569396777309892</v>
      </c>
      <c r="AD14" s="19">
        <v>0</v>
      </c>
      <c r="AE14" s="19">
        <v>2.9503736688906285E-2</v>
      </c>
      <c r="AF14" s="19">
        <v>1.5524768007969234</v>
      </c>
      <c r="AG14" s="19">
        <v>0.35533610826861373</v>
      </c>
      <c r="AH14" s="19">
        <v>7.172306523514159</v>
      </c>
      <c r="AI14" s="19">
        <v>0</v>
      </c>
      <c r="AJ14" s="19">
        <v>7.534331440916588E-3</v>
      </c>
      <c r="AK14" s="19">
        <v>0</v>
      </c>
      <c r="AL14" s="19">
        <v>0</v>
      </c>
      <c r="AM14" s="19">
        <v>5.1159439109941598E-2</v>
      </c>
      <c r="AN14" s="19">
        <v>4.7151639216247467E-2</v>
      </c>
      <c r="AO14" s="19">
        <v>0</v>
      </c>
    </row>
    <row r="15" spans="1:41" x14ac:dyDescent="0.2">
      <c r="A15" s="3" t="s">
        <v>451</v>
      </c>
      <c r="B15" s="19">
        <v>72.29083193720605</v>
      </c>
      <c r="C15" s="19">
        <v>119.66831449065178</v>
      </c>
      <c r="D15" s="19">
        <v>0.32315507217277173</v>
      </c>
      <c r="E15" s="19">
        <v>130.63157258052684</v>
      </c>
      <c r="F15" s="19">
        <v>3.7066987823517563E-3</v>
      </c>
      <c r="G15" s="19">
        <v>16.790848542192386</v>
      </c>
      <c r="H15" s="19">
        <v>1.702023177284677</v>
      </c>
      <c r="I15" s="19">
        <v>42.469042432146949</v>
      </c>
      <c r="J15" s="19">
        <v>4.4968301751633701</v>
      </c>
      <c r="K15" s="19">
        <v>248.52978729904575</v>
      </c>
      <c r="L15" s="19">
        <v>306.15496438214154</v>
      </c>
      <c r="M15" s="19">
        <v>9.9623591981869486E-2</v>
      </c>
      <c r="N15" s="19">
        <v>422.96507466957462</v>
      </c>
      <c r="O15" s="19">
        <v>7.340641232896046E-2</v>
      </c>
      <c r="P15" s="19">
        <v>2.7231565809711529</v>
      </c>
      <c r="Q15" s="19">
        <v>0.17638661876539627</v>
      </c>
      <c r="R15" s="19">
        <v>1.3424116567155284</v>
      </c>
      <c r="S15" s="19">
        <v>1.4275944554452131</v>
      </c>
      <c r="T15" s="19">
        <v>35.684781192722902</v>
      </c>
      <c r="U15" s="19">
        <v>1.8099332804583805</v>
      </c>
      <c r="V15" s="19">
        <v>2.5628338273632876</v>
      </c>
      <c r="W15" s="19">
        <v>0.4320536717923778</v>
      </c>
      <c r="X15" s="19">
        <v>92.414828201684799</v>
      </c>
      <c r="Y15" s="19">
        <v>1.8308500443918361</v>
      </c>
      <c r="Z15" s="19">
        <v>30.345302961364624</v>
      </c>
      <c r="AA15" s="19">
        <v>6.0189196279487502</v>
      </c>
      <c r="AB15" s="19">
        <v>4.2282313010286498E-3</v>
      </c>
      <c r="AC15" s="19">
        <v>0</v>
      </c>
      <c r="AD15" s="19">
        <v>1.8874161546509444E-3</v>
      </c>
      <c r="AE15" s="19">
        <v>4.4109715509985917E-5</v>
      </c>
      <c r="AF15" s="19">
        <v>3.4655355189201313</v>
      </c>
      <c r="AG15" s="19">
        <v>0.21102637946081301</v>
      </c>
      <c r="AH15" s="19">
        <v>2.5840301018310194</v>
      </c>
      <c r="AI15" s="19">
        <v>0</v>
      </c>
      <c r="AJ15" s="19">
        <v>0</v>
      </c>
      <c r="AK15" s="19">
        <v>0</v>
      </c>
      <c r="AL15" s="19">
        <v>0</v>
      </c>
      <c r="AM15" s="19">
        <v>0</v>
      </c>
      <c r="AN15" s="19">
        <v>0</v>
      </c>
      <c r="AO15" s="19">
        <v>1.8874161546509444E-3</v>
      </c>
    </row>
    <row r="16" spans="1:41" x14ac:dyDescent="0.2">
      <c r="A16" s="3" t="s">
        <v>452</v>
      </c>
      <c r="B16" s="19">
        <v>17.396855154828966</v>
      </c>
      <c r="C16" s="19">
        <v>99.071467280287635</v>
      </c>
      <c r="D16" s="19">
        <v>9.0404970817451746E-2</v>
      </c>
      <c r="E16" s="19">
        <v>261.72974445844363</v>
      </c>
      <c r="F16" s="19">
        <v>0.23617511197075347</v>
      </c>
      <c r="G16" s="19">
        <v>32.863772632268279</v>
      </c>
      <c r="H16" s="19">
        <v>1.687926208113955</v>
      </c>
      <c r="I16" s="19">
        <v>21.123834546655473</v>
      </c>
      <c r="J16" s="19">
        <v>5.6295581534239068</v>
      </c>
      <c r="K16" s="19">
        <v>160.10891166416994</v>
      </c>
      <c r="L16" s="19">
        <v>205.68439725945007</v>
      </c>
      <c r="M16" s="19">
        <v>0.24940020370610314</v>
      </c>
      <c r="N16" s="19">
        <v>78.187884574483434</v>
      </c>
      <c r="O16" s="19">
        <v>0.11305146387564884</v>
      </c>
      <c r="P16" s="19">
        <v>0.51012058973773078</v>
      </c>
      <c r="Q16" s="19">
        <v>0.2809417868175304</v>
      </c>
      <c r="R16" s="19">
        <v>0.26392922703205873</v>
      </c>
      <c r="S16" s="19">
        <v>0.53188018558620231</v>
      </c>
      <c r="T16" s="19">
        <v>77.595441637807767</v>
      </c>
      <c r="U16" s="19">
        <v>2.2550201798118792</v>
      </c>
      <c r="V16" s="19">
        <v>33.841707596187966</v>
      </c>
      <c r="W16" s="19">
        <v>2.4895685469981625</v>
      </c>
      <c r="X16" s="19">
        <v>91.62748096931989</v>
      </c>
      <c r="Y16" s="19">
        <v>27.615503457989835</v>
      </c>
      <c r="Z16" s="19">
        <v>136.47287548895622</v>
      </c>
      <c r="AA16" s="19">
        <v>32.264323164142084</v>
      </c>
      <c r="AB16" s="19">
        <v>0.55269180477405999</v>
      </c>
      <c r="AC16" s="19">
        <v>0</v>
      </c>
      <c r="AD16" s="19">
        <v>0</v>
      </c>
      <c r="AE16" s="19">
        <v>6.0042726940103871E-3</v>
      </c>
      <c r="AF16" s="19">
        <v>2.6658051747418692</v>
      </c>
      <c r="AG16" s="19">
        <v>0</v>
      </c>
      <c r="AH16" s="19">
        <v>63.689092017684693</v>
      </c>
      <c r="AI16" s="19">
        <v>0</v>
      </c>
      <c r="AJ16" s="19">
        <v>0</v>
      </c>
      <c r="AK16" s="19">
        <v>0</v>
      </c>
      <c r="AL16" s="19">
        <v>0</v>
      </c>
      <c r="AM16" s="19">
        <v>0</v>
      </c>
      <c r="AN16" s="19">
        <v>0</v>
      </c>
      <c r="AO16" s="19">
        <v>0</v>
      </c>
    </row>
    <row r="17" spans="1:41" x14ac:dyDescent="0.2">
      <c r="A17" s="3" t="s">
        <v>453</v>
      </c>
      <c r="B17" s="19">
        <v>17.168952239291098</v>
      </c>
      <c r="C17" s="19">
        <v>85.020268045979336</v>
      </c>
      <c r="D17" s="19">
        <v>7.3160148112150353E-2</v>
      </c>
      <c r="E17" s="19">
        <v>265.85042634910326</v>
      </c>
      <c r="F17" s="19">
        <v>0.19530999400367996</v>
      </c>
      <c r="G17" s="19">
        <v>18.263477312146566</v>
      </c>
      <c r="H17" s="19">
        <v>1.403441040244205</v>
      </c>
      <c r="I17" s="19">
        <v>21.985602938425004</v>
      </c>
      <c r="J17" s="19">
        <v>7.6469566581296453</v>
      </c>
      <c r="K17" s="19">
        <v>167.20200321968247</v>
      </c>
      <c r="L17" s="19">
        <v>207.84782585833545</v>
      </c>
      <c r="M17" s="19">
        <v>0.1730690893952794</v>
      </c>
      <c r="N17" s="19">
        <v>88.493148371566718</v>
      </c>
      <c r="O17" s="19">
        <v>9.9623542863993816E-2</v>
      </c>
      <c r="P17" s="19">
        <v>0.28177156605630238</v>
      </c>
      <c r="Q17" s="19">
        <v>0.39035792902645811</v>
      </c>
      <c r="R17" s="19">
        <v>9.2278916526595325E-3</v>
      </c>
      <c r="S17" s="19">
        <v>0.49250280381035277</v>
      </c>
      <c r="T17" s="19">
        <v>33.672983738121737</v>
      </c>
      <c r="U17" s="19">
        <v>1.6642823390239108</v>
      </c>
      <c r="V17" s="19">
        <v>31.997671630434738</v>
      </c>
      <c r="W17" s="19">
        <v>2.3402724248649207</v>
      </c>
      <c r="X17" s="19">
        <v>99.022191045350382</v>
      </c>
      <c r="Y17" s="19">
        <v>22.510526295088187</v>
      </c>
      <c r="Z17" s="19">
        <v>138.15256801797943</v>
      </c>
      <c r="AA17" s="19">
        <v>33.824544272236878</v>
      </c>
      <c r="AB17" s="19">
        <v>0.44988573115300257</v>
      </c>
      <c r="AC17" s="19">
        <v>0</v>
      </c>
      <c r="AD17" s="19">
        <v>5.0675966579077558E-5</v>
      </c>
      <c r="AE17" s="19">
        <v>4.8003947959252245E-3</v>
      </c>
      <c r="AF17" s="19">
        <v>2.7356458465334068</v>
      </c>
      <c r="AG17" s="19">
        <v>9.2031961913394324E-3</v>
      </c>
      <c r="AH17" s="19">
        <v>70.602402372315154</v>
      </c>
      <c r="AI17" s="19">
        <v>0</v>
      </c>
      <c r="AJ17" s="19">
        <v>0</v>
      </c>
      <c r="AK17" s="19">
        <v>0</v>
      </c>
      <c r="AL17" s="19">
        <v>0</v>
      </c>
      <c r="AM17" s="19">
        <v>0</v>
      </c>
      <c r="AN17" s="19">
        <v>0</v>
      </c>
      <c r="AO17" s="19">
        <v>5.0675966579077558E-5</v>
      </c>
    </row>
    <row r="18" spans="1:41" x14ac:dyDescent="0.2">
      <c r="A18" s="3" t="s">
        <v>445</v>
      </c>
      <c r="B18" s="19">
        <v>15.628609948632079</v>
      </c>
      <c r="C18" s="19">
        <v>135.69442854968167</v>
      </c>
      <c r="D18" s="19">
        <v>0.11546904908596603</v>
      </c>
      <c r="E18" s="19">
        <v>161.06356476976822</v>
      </c>
      <c r="F18" s="19">
        <v>0.20543993865204394</v>
      </c>
      <c r="G18" s="19">
        <v>32.338232676288364</v>
      </c>
      <c r="H18" s="19">
        <v>2.0058314231350924</v>
      </c>
      <c r="I18" s="19">
        <v>18.978703362779992</v>
      </c>
      <c r="J18" s="19">
        <v>4.8114757997209932</v>
      </c>
      <c r="K18" s="19">
        <v>171.16572272627559</v>
      </c>
      <c r="L18" s="19">
        <v>243.08517912463032</v>
      </c>
      <c r="M18" s="19">
        <v>0.26953235530159386</v>
      </c>
      <c r="N18" s="19">
        <v>117.87846090995859</v>
      </c>
      <c r="O18" s="19">
        <v>6.840545545154221E-2</v>
      </c>
      <c r="P18" s="19">
        <v>1.0799069357788755</v>
      </c>
      <c r="Q18" s="19">
        <v>0.30403574685647011</v>
      </c>
      <c r="R18" s="19">
        <v>2.4699520413981073</v>
      </c>
      <c r="S18" s="19">
        <v>0.2922975332915248</v>
      </c>
      <c r="T18" s="19">
        <v>188.14664660755957</v>
      </c>
      <c r="U18" s="19">
        <v>2.7943672865061133</v>
      </c>
      <c r="V18" s="19">
        <v>10.83278941278434</v>
      </c>
      <c r="W18" s="19">
        <v>0.52925834192523236</v>
      </c>
      <c r="X18" s="19">
        <v>92.629266692080378</v>
      </c>
      <c r="Y18" s="19">
        <v>6.4750951097499785</v>
      </c>
      <c r="Z18" s="19">
        <v>57.052178521201846</v>
      </c>
      <c r="AA18" s="19">
        <v>16.025117342386743</v>
      </c>
      <c r="AB18" s="19">
        <v>1.6418755073704957E-4</v>
      </c>
      <c r="AC18" s="19">
        <v>0.10409314032496819</v>
      </c>
      <c r="AD18" s="19">
        <v>0</v>
      </c>
      <c r="AE18" s="19">
        <v>0</v>
      </c>
      <c r="AF18" s="19">
        <v>2.9124423055939466</v>
      </c>
      <c r="AG18" s="19">
        <v>0</v>
      </c>
      <c r="AH18" s="19">
        <v>0.81086946881658273</v>
      </c>
      <c r="AI18" s="19">
        <v>0</v>
      </c>
      <c r="AJ18" s="19">
        <v>0</v>
      </c>
      <c r="AK18" s="19">
        <v>1.3106896146335669E-2</v>
      </c>
      <c r="AL18" s="19">
        <v>0</v>
      </c>
      <c r="AM18" s="19">
        <v>7.7879348032296833E-2</v>
      </c>
      <c r="AN18" s="19">
        <v>1.3106896146335673E-2</v>
      </c>
      <c r="AO18" s="19">
        <v>0</v>
      </c>
    </row>
    <row r="19" spans="1:41" x14ac:dyDescent="0.2">
      <c r="A19" s="3" t="s">
        <v>446</v>
      </c>
      <c r="B19" s="19">
        <v>14.635788949995188</v>
      </c>
      <c r="C19" s="19">
        <v>75.610258717908209</v>
      </c>
      <c r="D19" s="19">
        <v>6.3050614122667339E-2</v>
      </c>
      <c r="E19" s="19">
        <v>227.76577446607982</v>
      </c>
      <c r="F19" s="19">
        <v>0</v>
      </c>
      <c r="G19" s="19">
        <v>19.371110467555763</v>
      </c>
      <c r="H19" s="19">
        <v>1.0955309557018547</v>
      </c>
      <c r="I19" s="19">
        <v>24.292441200677029</v>
      </c>
      <c r="J19" s="19">
        <v>8.2115751568388209</v>
      </c>
      <c r="K19" s="19">
        <v>222.90600090427768</v>
      </c>
      <c r="L19" s="19">
        <v>256.60822482600361</v>
      </c>
      <c r="M19" s="19">
        <v>0.15192567749198438</v>
      </c>
      <c r="N19" s="19">
        <v>231.95520356633463</v>
      </c>
      <c r="O19" s="19">
        <v>8.0562157758912109E-2</v>
      </c>
      <c r="P19" s="19">
        <v>0.3023850981734858</v>
      </c>
      <c r="Q19" s="19">
        <v>0.38773565027484452</v>
      </c>
      <c r="R19" s="19">
        <v>0</v>
      </c>
      <c r="S19" s="19">
        <v>0.65833517480163928</v>
      </c>
      <c r="T19" s="19">
        <v>10.821199985388184</v>
      </c>
      <c r="U19" s="19">
        <v>1.6270379456774793</v>
      </c>
      <c r="V19" s="19">
        <v>16.2394302424862</v>
      </c>
      <c r="W19" s="19">
        <v>1.069900874136084</v>
      </c>
      <c r="X19" s="19">
        <v>97.691930275628863</v>
      </c>
      <c r="Y19" s="19">
        <v>21.991102672050634</v>
      </c>
      <c r="Z19" s="19">
        <v>102.98487808515092</v>
      </c>
      <c r="AA19" s="19">
        <v>25.000536123420765</v>
      </c>
      <c r="AB19" s="19">
        <v>0.42116557664051524</v>
      </c>
      <c r="AC19" s="19">
        <v>0</v>
      </c>
      <c r="AD19" s="19">
        <v>0</v>
      </c>
      <c r="AE19" s="19">
        <v>0</v>
      </c>
      <c r="AF19" s="19">
        <v>2.978014933586036</v>
      </c>
      <c r="AG19" s="19">
        <v>6.0910833305810632</v>
      </c>
      <c r="AH19" s="19">
        <v>5.6096709569170908</v>
      </c>
      <c r="AI19" s="19">
        <v>0</v>
      </c>
      <c r="AJ19" s="19">
        <v>0</v>
      </c>
      <c r="AK19" s="19">
        <v>0</v>
      </c>
      <c r="AL19" s="19">
        <v>0</v>
      </c>
      <c r="AM19" s="19">
        <v>0</v>
      </c>
      <c r="AN19" s="19">
        <v>0</v>
      </c>
      <c r="AO19" s="19">
        <v>0</v>
      </c>
    </row>
    <row r="20" spans="1:41" x14ac:dyDescent="0.2">
      <c r="A20" s="2" t="s">
        <v>578</v>
      </c>
      <c r="B20" s="19">
        <v>24.578631758822386</v>
      </c>
      <c r="C20" s="19">
        <v>66.236583647140378</v>
      </c>
      <c r="D20" s="19">
        <v>0.11675907988546282</v>
      </c>
      <c r="E20" s="19">
        <v>325.61261323086376</v>
      </c>
      <c r="F20" s="19">
        <v>0.31959554364559356</v>
      </c>
      <c r="G20" s="19">
        <v>4.3757346050304928</v>
      </c>
      <c r="H20" s="19">
        <v>1.4885694601832391</v>
      </c>
      <c r="I20" s="19">
        <v>14.620223283116989</v>
      </c>
      <c r="J20" s="19">
        <v>3.5071285458240289</v>
      </c>
      <c r="K20" s="19">
        <v>144.81165340431752</v>
      </c>
      <c r="L20" s="19">
        <v>217.76791139550664</v>
      </c>
      <c r="M20" s="19">
        <v>0.18989533756092333</v>
      </c>
      <c r="N20" s="19">
        <v>1016.099850195713</v>
      </c>
      <c r="O20" s="19">
        <v>0.21068302551653398</v>
      </c>
      <c r="P20" s="19">
        <v>1.5936053710281108</v>
      </c>
      <c r="Q20" s="19">
        <v>0.20322661742961731</v>
      </c>
      <c r="R20" s="19">
        <v>0.67541377537156588</v>
      </c>
      <c r="S20" s="19">
        <v>0.29447920688821116</v>
      </c>
      <c r="T20" s="19">
        <v>41.074427261894158</v>
      </c>
      <c r="U20" s="19">
        <v>2.4234933901323878</v>
      </c>
      <c r="V20" s="19">
        <v>18.972075280495492</v>
      </c>
      <c r="W20" s="19">
        <v>1.7638817770592217</v>
      </c>
      <c r="X20" s="19">
        <v>58.705510671408781</v>
      </c>
      <c r="Y20" s="19">
        <v>11.018291501842409</v>
      </c>
      <c r="Z20" s="19">
        <v>252.2970749963693</v>
      </c>
      <c r="AA20" s="19">
        <v>92.847457705051056</v>
      </c>
      <c r="AB20" s="19">
        <v>1.0409852994966601E-4</v>
      </c>
      <c r="AC20" s="19">
        <v>0</v>
      </c>
      <c r="AD20" s="19">
        <v>0</v>
      </c>
      <c r="AE20" s="19">
        <v>1.3546908676574799E-3</v>
      </c>
      <c r="AF20" s="19">
        <v>2.7979025038429532</v>
      </c>
      <c r="AG20" s="19">
        <v>0.17453162056360996</v>
      </c>
      <c r="AH20" s="19">
        <v>167.75527294082843</v>
      </c>
      <c r="AI20" s="19">
        <v>0</v>
      </c>
      <c r="AJ20" s="19">
        <v>0</v>
      </c>
      <c r="AK20" s="19">
        <v>0</v>
      </c>
      <c r="AL20" s="19">
        <v>0</v>
      </c>
      <c r="AM20" s="19">
        <v>0</v>
      </c>
      <c r="AN20" s="19">
        <v>0</v>
      </c>
      <c r="AO20" s="19">
        <v>0</v>
      </c>
    </row>
    <row r="21" spans="1:41" x14ac:dyDescent="0.2">
      <c r="A21" s="3" t="s">
        <v>447</v>
      </c>
      <c r="B21" s="19">
        <v>21.275885200066405</v>
      </c>
      <c r="C21" s="19">
        <v>53.855599423699893</v>
      </c>
      <c r="D21" s="19">
        <v>8.0835153408139557E-2</v>
      </c>
      <c r="E21" s="19">
        <v>166.52849935313361</v>
      </c>
      <c r="F21" s="19">
        <v>4.4139907494421149E-2</v>
      </c>
      <c r="G21" s="19">
        <v>4.7460802135178053</v>
      </c>
      <c r="H21" s="19">
        <v>1.2618729296956279</v>
      </c>
      <c r="I21" s="19">
        <v>17.621510020654291</v>
      </c>
      <c r="J21" s="19">
        <v>4.5975382801716664</v>
      </c>
      <c r="K21" s="19">
        <v>195.97946303252624</v>
      </c>
      <c r="L21" s="19">
        <v>278.49968290944832</v>
      </c>
      <c r="M21" s="19">
        <v>0.21137182759929596</v>
      </c>
      <c r="N21" s="19">
        <v>1059.419146184624</v>
      </c>
      <c r="O21" s="19">
        <v>0.46345292018679118</v>
      </c>
      <c r="P21" s="19">
        <v>0.66839743767152004</v>
      </c>
      <c r="Q21" s="19">
        <v>0.30771533628896836</v>
      </c>
      <c r="R21" s="19">
        <v>0.29505152460040718</v>
      </c>
      <c r="S21" s="19">
        <v>0.23563031980737489</v>
      </c>
      <c r="T21" s="19">
        <v>5.2068756102156746</v>
      </c>
      <c r="U21" s="19">
        <v>2.0045229549561578</v>
      </c>
      <c r="V21" s="19">
        <v>10.196077044240209</v>
      </c>
      <c r="W21" s="19">
        <v>0.9071619991373624</v>
      </c>
      <c r="X21" s="19">
        <v>72.650668274681735</v>
      </c>
      <c r="Y21" s="19">
        <v>12.037447209614676</v>
      </c>
      <c r="Z21" s="19">
        <v>78.089203452543586</v>
      </c>
      <c r="AA21" s="19">
        <v>24.933581141593667</v>
      </c>
      <c r="AB21" s="19">
        <v>0</v>
      </c>
      <c r="AC21" s="19">
        <v>4.8406776413395378E-5</v>
      </c>
      <c r="AD21" s="19">
        <v>0</v>
      </c>
      <c r="AE21" s="19">
        <v>0</v>
      </c>
      <c r="AF21" s="19">
        <v>3.4751344706886722</v>
      </c>
      <c r="AG21" s="19">
        <v>9.8680070523692932E-4</v>
      </c>
      <c r="AH21" s="19">
        <v>14.874628744909865</v>
      </c>
      <c r="AI21" s="19">
        <v>0</v>
      </c>
      <c r="AJ21" s="19">
        <v>0</v>
      </c>
      <c r="AK21" s="19">
        <v>0</v>
      </c>
      <c r="AL21" s="19">
        <v>0</v>
      </c>
      <c r="AM21" s="19">
        <v>0</v>
      </c>
      <c r="AN21" s="19">
        <v>4.8406776413395378E-5</v>
      </c>
      <c r="AO21" s="19">
        <v>0</v>
      </c>
    </row>
    <row r="22" spans="1:41" x14ac:dyDescent="0.2">
      <c r="A22" s="2" t="s">
        <v>579</v>
      </c>
      <c r="B22" s="19">
        <v>72.759135174737608</v>
      </c>
      <c r="C22" s="19">
        <v>337.9579626692194</v>
      </c>
      <c r="D22" s="19">
        <v>7.9473330275325854E-2</v>
      </c>
      <c r="E22" s="19">
        <v>177.95790559299425</v>
      </c>
      <c r="F22" s="19">
        <v>6.4611577223559757E-2</v>
      </c>
      <c r="G22" s="19">
        <v>32.147498548747485</v>
      </c>
      <c r="H22" s="19">
        <v>1.5227215963852552</v>
      </c>
      <c r="I22" s="19">
        <v>12.672353698766416</v>
      </c>
      <c r="J22" s="19">
        <v>0.37926431934210331</v>
      </c>
      <c r="K22" s="19">
        <v>185.1287110645757</v>
      </c>
      <c r="L22" s="19">
        <v>153.25917951858116</v>
      </c>
      <c r="M22" s="19">
        <v>0.41446880774601452</v>
      </c>
      <c r="N22" s="19">
        <v>240.0404509166564</v>
      </c>
      <c r="O22" s="19">
        <v>8.3587656072951169E-2</v>
      </c>
      <c r="P22" s="19">
        <v>0.97183126138929377</v>
      </c>
      <c r="Q22" s="19">
        <v>0.13011506920398419</v>
      </c>
      <c r="R22" s="19">
        <v>0.35896229509216088</v>
      </c>
      <c r="S22" s="19">
        <v>1.1155864350514406</v>
      </c>
      <c r="T22" s="19">
        <v>137.84398702463434</v>
      </c>
      <c r="U22" s="19">
        <v>1.1161016234863463</v>
      </c>
      <c r="V22" s="19">
        <v>20.070642938874308</v>
      </c>
      <c r="W22" s="19">
        <v>1.314304339435477</v>
      </c>
      <c r="X22" s="19">
        <v>47.615137210846903</v>
      </c>
      <c r="Y22" s="19">
        <v>10.412939135492719</v>
      </c>
      <c r="Z22" s="19">
        <v>116.92290660126784</v>
      </c>
      <c r="AA22" s="19">
        <v>36.151219157016243</v>
      </c>
      <c r="AB22" s="19">
        <v>6.3201867691821456E-2</v>
      </c>
      <c r="AC22" s="19">
        <v>1.1981406091294979E-2</v>
      </c>
      <c r="AD22" s="19">
        <v>1.6400480199903843E-4</v>
      </c>
      <c r="AE22" s="19">
        <v>9.6799967344998836E-2</v>
      </c>
      <c r="AF22" s="19">
        <v>1.7278700328894796</v>
      </c>
      <c r="AG22" s="19">
        <v>0.58898528391201321</v>
      </c>
      <c r="AH22" s="19">
        <v>60.388716467084208</v>
      </c>
      <c r="AI22" s="19">
        <v>0</v>
      </c>
      <c r="AJ22" s="19">
        <v>0</v>
      </c>
      <c r="AK22" s="19">
        <v>0</v>
      </c>
      <c r="AL22" s="19">
        <v>0</v>
      </c>
      <c r="AM22" s="19">
        <v>2.9583711738658575E-3</v>
      </c>
      <c r="AN22" s="19">
        <v>9.041413935233087E-3</v>
      </c>
      <c r="AO22" s="19">
        <v>1.6400480199903843E-4</v>
      </c>
    </row>
    <row r="23" spans="1:41" x14ac:dyDescent="0.2">
      <c r="A23" s="2" t="s">
        <v>580</v>
      </c>
      <c r="B23" s="19">
        <v>72.662273264527997</v>
      </c>
      <c r="C23" s="19">
        <v>41.0488767435467</v>
      </c>
      <c r="D23" s="19">
        <v>0.10488656039349499</v>
      </c>
      <c r="E23" s="19">
        <v>226.01195520635952</v>
      </c>
      <c r="F23" s="19">
        <v>0.90370732922510733</v>
      </c>
      <c r="G23" s="19">
        <v>46.296393261747603</v>
      </c>
      <c r="H23" s="19">
        <v>1.7410692210644951</v>
      </c>
      <c r="I23" s="19">
        <v>18.814105417138215</v>
      </c>
      <c r="J23" s="19">
        <v>3.3523816510420734</v>
      </c>
      <c r="K23" s="19">
        <v>129.95503883126005</v>
      </c>
      <c r="L23" s="19">
        <v>206.10311211872627</v>
      </c>
      <c r="M23" s="19">
        <v>0.18615299753931566</v>
      </c>
      <c r="N23" s="19">
        <v>391.59836596490993</v>
      </c>
      <c r="O23" s="19">
        <v>0.13785417082512541</v>
      </c>
      <c r="P23" s="19">
        <v>0.81611787980485928</v>
      </c>
      <c r="Q23" s="19">
        <v>0.18235360491513133</v>
      </c>
      <c r="R23" s="19">
        <v>2.4829407763664206</v>
      </c>
      <c r="S23" s="19">
        <v>0.56203734237851011</v>
      </c>
      <c r="T23" s="19">
        <v>27.816061961891517</v>
      </c>
      <c r="U23" s="19">
        <v>2.0248658123055003</v>
      </c>
      <c r="V23" s="19">
        <v>17.068333702919841</v>
      </c>
      <c r="W23" s="19">
        <v>1.8839113206761668</v>
      </c>
      <c r="X23" s="19">
        <v>51.745916144495759</v>
      </c>
      <c r="Y23" s="19">
        <v>62.687043448613728</v>
      </c>
      <c r="Z23" s="19">
        <v>109.57652818136152</v>
      </c>
      <c r="AA23" s="19">
        <v>37.165800584650313</v>
      </c>
      <c r="AB23" s="19">
        <v>1.0287670182016579</v>
      </c>
      <c r="AC23" s="19">
        <v>0.14775857620933924</v>
      </c>
      <c r="AD23" s="19">
        <v>1.3193844039959715E-3</v>
      </c>
      <c r="AE23" s="19">
        <v>8.385052588994725E-2</v>
      </c>
      <c r="AF23" s="19">
        <v>1.1878989253111167</v>
      </c>
      <c r="AG23" s="19">
        <v>2.1041246600422245</v>
      </c>
      <c r="AH23" s="19">
        <v>59.240151553864308</v>
      </c>
      <c r="AI23" s="19">
        <v>2.3083845958829824E-3</v>
      </c>
      <c r="AJ23" s="19">
        <v>3.3876222188401316E-3</v>
      </c>
      <c r="AK23" s="19">
        <v>4.1205416851308263E-3</v>
      </c>
      <c r="AL23" s="19">
        <v>1.6937212948651362E-4</v>
      </c>
      <c r="AM23" s="19">
        <v>1.5069167275853048E-2</v>
      </c>
      <c r="AN23" s="19">
        <v>0.12515542796215853</v>
      </c>
      <c r="AO23" s="19">
        <v>1.3193844039959715E-3</v>
      </c>
    </row>
    <row r="24" spans="1:41" x14ac:dyDescent="0.2">
      <c r="A24" s="3" t="s">
        <v>178</v>
      </c>
      <c r="B24" s="19">
        <v>20.942862933770403</v>
      </c>
      <c r="C24" s="19">
        <v>25.849157918550944</v>
      </c>
      <c r="D24" s="19">
        <v>0.10418413036499542</v>
      </c>
      <c r="E24" s="19">
        <v>111.14265904577381</v>
      </c>
      <c r="F24" s="19">
        <v>1.1404815644422126</v>
      </c>
      <c r="G24" s="19">
        <v>19.245341876056266</v>
      </c>
      <c r="H24" s="19">
        <v>1.1718025376710668</v>
      </c>
      <c r="I24" s="19">
        <v>17.240875802323178</v>
      </c>
      <c r="J24" s="19">
        <v>2.6374662375127476</v>
      </c>
      <c r="K24" s="19">
        <v>87.627393945601668</v>
      </c>
      <c r="L24" s="19">
        <v>225.92194368676584</v>
      </c>
      <c r="M24" s="19">
        <v>0.10061772435284894</v>
      </c>
      <c r="N24" s="19">
        <v>260.0566978706201</v>
      </c>
      <c r="O24" s="19">
        <v>8.3666076993679381E-2</v>
      </c>
      <c r="P24" s="19">
        <v>0.55761876792275777</v>
      </c>
      <c r="Q24" s="19">
        <v>0.16791116396543773</v>
      </c>
      <c r="R24" s="19">
        <v>5.3845356844024268</v>
      </c>
      <c r="S24" s="19">
        <v>0.63451297048488386</v>
      </c>
      <c r="T24" s="19">
        <v>31.752202464021341</v>
      </c>
      <c r="U24" s="19">
        <v>1.3147338370573896</v>
      </c>
      <c r="V24" s="19">
        <v>8.7773682378439091</v>
      </c>
      <c r="W24" s="19">
        <v>0.93846592444711874</v>
      </c>
      <c r="X24" s="19">
        <v>37.17076054893851</v>
      </c>
      <c r="Y24" s="19">
        <v>33.255648516246005</v>
      </c>
      <c r="Z24" s="19">
        <v>40.185209444449676</v>
      </c>
      <c r="AA24" s="19">
        <v>10.848227840591624</v>
      </c>
      <c r="AB24" s="19">
        <v>0.16713291678098049</v>
      </c>
      <c r="AC24" s="19">
        <v>0.239431023754685</v>
      </c>
      <c r="AD24" s="19">
        <v>3.401868165623656E-3</v>
      </c>
      <c r="AE24" s="19">
        <v>2.2338061851435533E-3</v>
      </c>
      <c r="AF24" s="19">
        <v>1.0618140071265108</v>
      </c>
      <c r="AG24" s="19">
        <v>1.4023666171402882</v>
      </c>
      <c r="AH24" s="19">
        <v>8.3428070916740467</v>
      </c>
      <c r="AI24" s="19">
        <v>1.6933303269601075E-4</v>
      </c>
      <c r="AJ24" s="19">
        <v>5.4009632715347321E-3</v>
      </c>
      <c r="AK24" s="19">
        <v>1.57534722871948E-2</v>
      </c>
      <c r="AL24" s="19">
        <v>1.6452458756793357E-2</v>
      </c>
      <c r="AM24" s="19">
        <v>6.3853852404055722E-2</v>
      </c>
      <c r="AN24" s="19">
        <v>0.15445457055996353</v>
      </c>
      <c r="AO24" s="19">
        <v>3.401868165623656E-3</v>
      </c>
    </row>
    <row r="25" spans="1:41" x14ac:dyDescent="0.2">
      <c r="A25" s="2" t="s">
        <v>581</v>
      </c>
      <c r="B25" s="19">
        <v>36.940198718775555</v>
      </c>
      <c r="C25" s="19">
        <v>2.8092733661097955</v>
      </c>
      <c r="D25" s="19">
        <v>0.20751266172904093</v>
      </c>
      <c r="E25" s="19">
        <v>136.45885186522423</v>
      </c>
      <c r="F25" s="19">
        <v>4.9138645189297305</v>
      </c>
      <c r="G25" s="19">
        <v>69.846011207979018</v>
      </c>
      <c r="H25" s="19">
        <v>1.756111906029808</v>
      </c>
      <c r="I25" s="19">
        <v>38.141447776115946</v>
      </c>
      <c r="J25" s="19">
        <v>0.73489635693279809</v>
      </c>
      <c r="K25" s="19">
        <v>111.29140207779986</v>
      </c>
      <c r="L25" s="19">
        <v>308.88046913503513</v>
      </c>
      <c r="M25" s="19">
        <v>7.502490005562247E-2</v>
      </c>
      <c r="N25" s="19">
        <v>210.3162492376085</v>
      </c>
      <c r="O25" s="19">
        <v>0.13685313916383196</v>
      </c>
      <c r="P25" s="19">
        <v>0.10821026532977462</v>
      </c>
      <c r="Q25" s="19">
        <v>0.13259545667061887</v>
      </c>
      <c r="R25" s="19">
        <v>1.5710783006041766</v>
      </c>
      <c r="S25" s="19">
        <v>0.68925387136931116</v>
      </c>
      <c r="T25" s="19">
        <v>7.3820360592223757</v>
      </c>
      <c r="U25" s="19">
        <v>1.2372037552951156</v>
      </c>
      <c r="V25" s="19">
        <v>13.685493355612225</v>
      </c>
      <c r="W25" s="19">
        <v>1.9757522448063631</v>
      </c>
      <c r="X25" s="19">
        <v>27.493763927422801</v>
      </c>
      <c r="Y25" s="19">
        <v>69.81165259337395</v>
      </c>
      <c r="Z25" s="19">
        <v>42.974940653529892</v>
      </c>
      <c r="AA25" s="19">
        <v>9.3853359320095979</v>
      </c>
      <c r="AB25" s="19">
        <v>1.5173495613981821E-2</v>
      </c>
      <c r="AC25" s="19">
        <v>0.46807055818836163</v>
      </c>
      <c r="AD25" s="19">
        <v>9.3286757640439699E-5</v>
      </c>
      <c r="AE25" s="19">
        <v>5.519019064742927E-4</v>
      </c>
      <c r="AF25" s="19">
        <v>0.15650331915656635</v>
      </c>
      <c r="AG25" s="19">
        <v>0.63005378103580656</v>
      </c>
      <c r="AH25" s="19">
        <v>30.166787718037369</v>
      </c>
      <c r="AI25" s="19">
        <v>1.7750693589009821E-3</v>
      </c>
      <c r="AJ25" s="19">
        <v>2.4022921307025472E-3</v>
      </c>
      <c r="AK25" s="19">
        <v>3.2936857791022052E-3</v>
      </c>
      <c r="AL25" s="19">
        <v>0.42631513003389132</v>
      </c>
      <c r="AM25" s="19">
        <v>1.3946623581155622E-3</v>
      </c>
      <c r="AN25" s="19">
        <v>3.4670666685960388E-2</v>
      </c>
      <c r="AO25" s="19">
        <v>9.3286757640439699E-5</v>
      </c>
    </row>
    <row r="26" spans="1:41" x14ac:dyDescent="0.2">
      <c r="A26" s="2" t="s">
        <v>15</v>
      </c>
      <c r="B26" s="19">
        <v>65.686655529750652</v>
      </c>
      <c r="C26" s="19">
        <v>0</v>
      </c>
      <c r="D26" s="19">
        <v>0.82860992546630818</v>
      </c>
      <c r="E26" s="19">
        <v>537.23835791704516</v>
      </c>
      <c r="F26" s="19">
        <v>6.3592589370076782</v>
      </c>
      <c r="G26" s="19">
        <v>78.326239446769947</v>
      </c>
      <c r="H26" s="19">
        <v>3.0910864085244669</v>
      </c>
      <c r="I26" s="19">
        <v>190.15160768354309</v>
      </c>
      <c r="J26" s="19">
        <v>8.9043630273828125</v>
      </c>
      <c r="K26" s="19">
        <v>414.26355739118736</v>
      </c>
      <c r="L26" s="19">
        <v>599.09345777061253</v>
      </c>
      <c r="M26" s="19">
        <v>0.16435701080451548</v>
      </c>
      <c r="N26" s="19">
        <v>389.33024196088746</v>
      </c>
      <c r="O26" s="19">
        <v>0.23615155252775369</v>
      </c>
      <c r="P26" s="19">
        <v>0</v>
      </c>
      <c r="Q26" s="19">
        <v>0.36376294934293457</v>
      </c>
      <c r="R26" s="19">
        <v>0.67980239881951643</v>
      </c>
      <c r="S26" s="19">
        <v>7.5892201155711909</v>
      </c>
      <c r="T26" s="19">
        <v>1.3977961754890009</v>
      </c>
      <c r="U26" s="19">
        <v>3.3967153285697589</v>
      </c>
      <c r="V26" s="19">
        <v>122.76022336148317</v>
      </c>
      <c r="W26" s="19">
        <v>1.4117153146861676</v>
      </c>
      <c r="X26" s="19">
        <v>85.480779659397271</v>
      </c>
      <c r="Y26" s="19">
        <v>81.393269607163418</v>
      </c>
      <c r="Z26" s="19">
        <v>409.204455588835</v>
      </c>
      <c r="AA26" s="19">
        <v>66.882743942271773</v>
      </c>
      <c r="AB26" s="19">
        <v>3.1068363068747107E-2</v>
      </c>
      <c r="AC26" s="19">
        <v>0</v>
      </c>
      <c r="AD26" s="19">
        <v>1.5808233736019209E-2</v>
      </c>
      <c r="AE26" s="19">
        <v>0</v>
      </c>
      <c r="AF26" s="19">
        <v>6.5337231608468436</v>
      </c>
      <c r="AG26" s="19">
        <v>28.8905783672114</v>
      </c>
      <c r="AH26" s="19">
        <v>10.50854973185702</v>
      </c>
      <c r="AI26" s="19">
        <v>0</v>
      </c>
      <c r="AJ26" s="19">
        <v>0</v>
      </c>
      <c r="AK26" s="19">
        <v>0</v>
      </c>
      <c r="AL26" s="19">
        <v>0</v>
      </c>
      <c r="AM26" s="19">
        <v>0</v>
      </c>
      <c r="AN26" s="19">
        <v>0</v>
      </c>
      <c r="AO26" s="19">
        <v>1.5808233736019209E-2</v>
      </c>
    </row>
    <row r="27" spans="1:41" x14ac:dyDescent="0.2">
      <c r="A27" s="3" t="s">
        <v>406</v>
      </c>
      <c r="B27" s="19">
        <v>66.57626099645438</v>
      </c>
      <c r="C27" s="19">
        <v>4.5258163180021915</v>
      </c>
      <c r="D27" s="19">
        <v>0.24974657410253948</v>
      </c>
      <c r="E27" s="19">
        <v>270.73749457779172</v>
      </c>
      <c r="F27" s="19">
        <v>6.2233594864561672</v>
      </c>
      <c r="G27" s="19">
        <v>90.766308998299749</v>
      </c>
      <c r="H27" s="19">
        <v>3.1011616187641207</v>
      </c>
      <c r="I27" s="19">
        <v>75.664383636702311</v>
      </c>
      <c r="J27" s="19">
        <v>3.8113969444559981</v>
      </c>
      <c r="K27" s="19">
        <v>199.23372257821555</v>
      </c>
      <c r="L27" s="19">
        <v>288.48223590840155</v>
      </c>
      <c r="M27" s="19">
        <v>0.24605637852750081</v>
      </c>
      <c r="N27" s="19">
        <v>445.94756661047381</v>
      </c>
      <c r="O27" s="19">
        <v>0.29157934176789968</v>
      </c>
      <c r="P27" s="19">
        <v>5.3404317129360453E-2</v>
      </c>
      <c r="Q27" s="19">
        <v>0.23277490136185511</v>
      </c>
      <c r="R27" s="19">
        <v>9.1861114933826427E-2</v>
      </c>
      <c r="S27" s="19">
        <v>0.62552181918617422</v>
      </c>
      <c r="T27" s="19">
        <v>4.2555376031159993</v>
      </c>
      <c r="U27" s="19">
        <v>1.5090712120256908</v>
      </c>
      <c r="V27" s="19">
        <v>17.999191077261234</v>
      </c>
      <c r="W27" s="19">
        <v>1.9366077725530766</v>
      </c>
      <c r="X27" s="19">
        <v>36.108135083320064</v>
      </c>
      <c r="Y27" s="19">
        <v>197.4895924768428</v>
      </c>
      <c r="Z27" s="19">
        <v>47.904647114292828</v>
      </c>
      <c r="AA27" s="19">
        <v>8.7440144149786967</v>
      </c>
      <c r="AB27" s="19">
        <v>3.2593354330348601</v>
      </c>
      <c r="AC27" s="19">
        <v>0</v>
      </c>
      <c r="AD27" s="19">
        <v>1.8402689685426364E-3</v>
      </c>
      <c r="AE27" s="19">
        <v>0</v>
      </c>
      <c r="AF27" s="19">
        <v>0</v>
      </c>
      <c r="AG27" s="19">
        <v>2.4516657242223721</v>
      </c>
      <c r="AH27" s="19">
        <v>32.972791338386656</v>
      </c>
      <c r="AI27" s="19">
        <v>2.4778829271078187</v>
      </c>
      <c r="AJ27" s="19">
        <v>0</v>
      </c>
      <c r="AK27" s="19">
        <v>0</v>
      </c>
      <c r="AL27" s="19">
        <v>0</v>
      </c>
      <c r="AM27" s="19">
        <v>0</v>
      </c>
      <c r="AN27" s="19">
        <v>0</v>
      </c>
      <c r="AO27" s="19">
        <v>1.8402689685426364E-3</v>
      </c>
    </row>
    <row r="28" spans="1:41" x14ac:dyDescent="0.2">
      <c r="A28" s="3" t="s">
        <v>407</v>
      </c>
      <c r="B28" s="19">
        <v>120.63934594356104</v>
      </c>
      <c r="C28" s="19">
        <v>6.6186826108876948</v>
      </c>
      <c r="D28" s="19">
        <v>0.18065020889197134</v>
      </c>
      <c r="E28" s="19">
        <v>276.6318369156844</v>
      </c>
      <c r="F28" s="19">
        <v>2.9967866311404268</v>
      </c>
      <c r="G28" s="19">
        <v>147.71788753848281</v>
      </c>
      <c r="H28" s="19">
        <v>3.0527366913390592</v>
      </c>
      <c r="I28" s="19">
        <v>29.209826505486312</v>
      </c>
      <c r="J28" s="19">
        <v>3.630742411737871</v>
      </c>
      <c r="K28" s="19">
        <v>154.49929293653494</v>
      </c>
      <c r="L28" s="19">
        <v>130.33393722025525</v>
      </c>
      <c r="M28" s="19">
        <v>0.29504691122373089</v>
      </c>
      <c r="N28" s="19">
        <v>517.07059347311701</v>
      </c>
      <c r="O28" s="19">
        <v>0.38229370007090713</v>
      </c>
      <c r="P28" s="19">
        <v>0.10890388000604295</v>
      </c>
      <c r="Q28" s="19">
        <v>9.5277986883973015E-2</v>
      </c>
      <c r="R28" s="19">
        <v>6.4653071268513246E-2</v>
      </c>
      <c r="S28" s="19">
        <v>0.35347252172984328</v>
      </c>
      <c r="T28" s="19">
        <v>12.560209200354926</v>
      </c>
      <c r="U28" s="19">
        <v>0.76945666047243089</v>
      </c>
      <c r="V28" s="19">
        <v>14.641861860931456</v>
      </c>
      <c r="W28" s="19">
        <v>1.2920582823689022</v>
      </c>
      <c r="X28" s="19">
        <v>32.060698757780102</v>
      </c>
      <c r="Y28" s="19">
        <v>195.38910167474643</v>
      </c>
      <c r="Z28" s="19">
        <v>48.52636790905828</v>
      </c>
      <c r="AA28" s="19">
        <v>10.240992977269736</v>
      </c>
      <c r="AB28" s="19">
        <v>3.5357742976248367</v>
      </c>
      <c r="AC28" s="19">
        <v>2.6610973544109338E-4</v>
      </c>
      <c r="AD28" s="19">
        <v>4.7747861060107762E-3</v>
      </c>
      <c r="AE28" s="19">
        <v>2.1337321866033228E-3</v>
      </c>
      <c r="AF28" s="19">
        <v>1.406799535539756E-2</v>
      </c>
      <c r="AG28" s="19">
        <v>1.3865679651441425</v>
      </c>
      <c r="AH28" s="19">
        <v>33.996201308575465</v>
      </c>
      <c r="AI28" s="19">
        <v>0.10396737271670303</v>
      </c>
      <c r="AJ28" s="19">
        <v>1.6717584456690933E-5</v>
      </c>
      <c r="AK28" s="19">
        <v>8.1054954941531805E-6</v>
      </c>
      <c r="AL28" s="19">
        <v>3.8320863492013443E-4</v>
      </c>
      <c r="AM28" s="19">
        <v>9.565413906000547E-5</v>
      </c>
      <c r="AN28" s="19">
        <v>1.4563251643024382E-4</v>
      </c>
      <c r="AO28" s="19">
        <v>4.7747861060107762E-3</v>
      </c>
    </row>
    <row r="29" spans="1:41" x14ac:dyDescent="0.2">
      <c r="A29" s="3" t="s">
        <v>619</v>
      </c>
      <c r="B29" s="19">
        <v>88.289780434670689</v>
      </c>
      <c r="C29" s="19">
        <v>1.9885005151506303</v>
      </c>
      <c r="D29" s="19">
        <v>7.5684674324901752E-2</v>
      </c>
      <c r="E29" s="19">
        <v>240.02228966617352</v>
      </c>
      <c r="F29" s="19">
        <v>2.1045582898392388</v>
      </c>
      <c r="G29" s="19">
        <v>454.43100364543301</v>
      </c>
      <c r="H29" s="19">
        <v>11.432371681997644</v>
      </c>
      <c r="I29" s="19">
        <v>21.150987398455733</v>
      </c>
      <c r="J29" s="19">
        <v>9.7279990269609922</v>
      </c>
      <c r="K29" s="19">
        <v>80.711458303177423</v>
      </c>
      <c r="L29" s="19">
        <v>93.289639245685109</v>
      </c>
      <c r="M29" s="19">
        <v>0.84195709325178703</v>
      </c>
      <c r="N29" s="19">
        <v>379.57827958175022</v>
      </c>
      <c r="O29" s="19">
        <v>0.7441753774125458</v>
      </c>
      <c r="P29" s="19">
        <v>2.6877454130470255</v>
      </c>
      <c r="Q29" s="19">
        <v>0.992428422311464</v>
      </c>
      <c r="R29" s="19">
        <v>12.942557199862717</v>
      </c>
      <c r="S29" s="19">
        <v>0.45223031871963359</v>
      </c>
      <c r="T29" s="19">
        <v>260.7912232767967</v>
      </c>
      <c r="U29" s="19">
        <v>2.9322386394090811</v>
      </c>
      <c r="V29" s="19">
        <v>4.7543127061949377</v>
      </c>
      <c r="W29" s="19">
        <v>0.30800514108854093</v>
      </c>
      <c r="X29" s="19">
        <v>15.404878399257115</v>
      </c>
      <c r="Y29" s="19">
        <v>210.26880255026708</v>
      </c>
      <c r="Z29" s="19">
        <v>21.239578840019977</v>
      </c>
      <c r="AA29" s="19">
        <v>6.6577554891974433</v>
      </c>
      <c r="AB29" s="19">
        <v>1.6635977767053591</v>
      </c>
      <c r="AC29" s="19">
        <v>0</v>
      </c>
      <c r="AD29" s="19">
        <v>1.7262963627423351E-3</v>
      </c>
      <c r="AE29" s="19">
        <v>1.1683701743233865E-2</v>
      </c>
      <c r="AF29" s="19">
        <v>8.129415123069323E-3</v>
      </c>
      <c r="AG29" s="19">
        <v>0.19517465860194017</v>
      </c>
      <c r="AH29" s="19">
        <v>67.245052065739046</v>
      </c>
      <c r="AI29" s="19">
        <v>8.8687163818370843E-2</v>
      </c>
      <c r="AJ29" s="19">
        <v>0</v>
      </c>
      <c r="AK29" s="19">
        <v>0</v>
      </c>
      <c r="AL29" s="19">
        <v>0</v>
      </c>
      <c r="AM29" s="19">
        <v>0</v>
      </c>
      <c r="AN29" s="19">
        <v>0</v>
      </c>
      <c r="AO29" s="19">
        <v>1.7262963627423351E-3</v>
      </c>
    </row>
    <row r="30" spans="1:41" x14ac:dyDescent="0.2">
      <c r="A30" s="3" t="s">
        <v>62</v>
      </c>
      <c r="B30" s="19">
        <v>97.119419070754574</v>
      </c>
      <c r="C30" s="19">
        <v>1.569349852883013</v>
      </c>
      <c r="D30" s="19">
        <v>0.1052809055354675</v>
      </c>
      <c r="E30" s="19">
        <v>152.39424313317207</v>
      </c>
      <c r="F30" s="19">
        <v>3.5897415830643462</v>
      </c>
      <c r="G30" s="19">
        <v>222.5019033519155</v>
      </c>
      <c r="H30" s="19">
        <v>6.3043201327501652</v>
      </c>
      <c r="I30" s="19">
        <v>54.305115895233321</v>
      </c>
      <c r="J30" s="19">
        <v>3.8033137507513803</v>
      </c>
      <c r="K30" s="19">
        <v>158.61308706148748</v>
      </c>
      <c r="L30" s="19">
        <v>160.47391773399755</v>
      </c>
      <c r="M30" s="19">
        <v>0.34530423821580741</v>
      </c>
      <c r="N30" s="19">
        <v>182.04005702717924</v>
      </c>
      <c r="O30" s="19">
        <v>0.33980107441200158</v>
      </c>
      <c r="P30" s="19">
        <v>1.045694692547714</v>
      </c>
      <c r="Q30" s="19">
        <v>0.43884803510732034</v>
      </c>
      <c r="R30" s="19">
        <v>4.3392352346733016</v>
      </c>
      <c r="S30" s="19">
        <v>0.21758118730640025</v>
      </c>
      <c r="T30" s="19">
        <v>110.92346678738596</v>
      </c>
      <c r="U30" s="19">
        <v>2.9935102546645864</v>
      </c>
      <c r="V30" s="19">
        <v>6.4336510458383893</v>
      </c>
      <c r="W30" s="19">
        <v>0.3380622865078774</v>
      </c>
      <c r="X30" s="19">
        <v>21.742051778611668</v>
      </c>
      <c r="Y30" s="19">
        <v>117.15500650065368</v>
      </c>
      <c r="Z30" s="19">
        <v>21.65537667135224</v>
      </c>
      <c r="AA30" s="19">
        <v>5.7530066061982961</v>
      </c>
      <c r="AB30" s="19">
        <v>1.5265339862740721</v>
      </c>
      <c r="AC30" s="19">
        <v>0</v>
      </c>
      <c r="AD30" s="19">
        <v>3.5451653919618139E-4</v>
      </c>
      <c r="AE30" s="19">
        <v>0</v>
      </c>
      <c r="AF30" s="19">
        <v>0</v>
      </c>
      <c r="AG30" s="19">
        <v>1.1449159540786874E-2</v>
      </c>
      <c r="AH30" s="19">
        <v>3.2843968124887675</v>
      </c>
      <c r="AI30" s="19">
        <v>0.92800101371256283</v>
      </c>
      <c r="AJ30" s="19">
        <v>0</v>
      </c>
      <c r="AK30" s="19">
        <v>0</v>
      </c>
      <c r="AL30" s="19">
        <v>0</v>
      </c>
      <c r="AM30" s="19">
        <v>0</v>
      </c>
      <c r="AN30" s="19">
        <v>0</v>
      </c>
      <c r="AO30" s="19">
        <v>3.5451653919618139E-4</v>
      </c>
    </row>
    <row r="31" spans="1:41" x14ac:dyDescent="0.2">
      <c r="A31" s="3" t="s">
        <v>181</v>
      </c>
      <c r="B31" s="19">
        <v>110.24264437539766</v>
      </c>
      <c r="C31" s="19">
        <v>1.454737809663093</v>
      </c>
      <c r="D31" s="19">
        <v>0.157023594379544</v>
      </c>
      <c r="E31" s="19">
        <v>217.87792283979758</v>
      </c>
      <c r="F31" s="19">
        <v>4.4575466838649804</v>
      </c>
      <c r="G31" s="19">
        <v>348.28098388629314</v>
      </c>
      <c r="H31" s="19">
        <v>9.7953798061743917</v>
      </c>
      <c r="I31" s="19">
        <v>57.097159753589736</v>
      </c>
      <c r="J31" s="19">
        <v>7.9247749617361363</v>
      </c>
      <c r="K31" s="19">
        <v>180.00001427915657</v>
      </c>
      <c r="L31" s="19">
        <v>197.54808217452418</v>
      </c>
      <c r="M31" s="19">
        <v>0.69535411539232594</v>
      </c>
      <c r="N31" s="19">
        <v>247.02708923916177</v>
      </c>
      <c r="O31" s="19">
        <v>0.620742297106323</v>
      </c>
      <c r="P31" s="19">
        <v>2.1664215097327313</v>
      </c>
      <c r="Q31" s="19">
        <v>0.85094571698984467</v>
      </c>
      <c r="R31" s="19">
        <v>6.1968230527263062</v>
      </c>
      <c r="S31" s="19">
        <v>1.347852792524006</v>
      </c>
      <c r="T31" s="19">
        <v>231.14485386022622</v>
      </c>
      <c r="U31" s="19">
        <v>4.505867874168187</v>
      </c>
      <c r="V31" s="19">
        <v>9.3806763916062028</v>
      </c>
      <c r="W31" s="19">
        <v>0.60331305225141263</v>
      </c>
      <c r="X31" s="19">
        <v>21.72181746426417</v>
      </c>
      <c r="Y31" s="19">
        <v>175.93384279557745</v>
      </c>
      <c r="Z31" s="19">
        <v>32.625530366243318</v>
      </c>
      <c r="AA31" s="19">
        <v>8.1513680354776028</v>
      </c>
      <c r="AB31" s="19">
        <v>1.4941100781243188</v>
      </c>
      <c r="AC31" s="19">
        <v>0</v>
      </c>
      <c r="AD31" s="19">
        <v>2.0964576217682256E-2</v>
      </c>
      <c r="AE31" s="19">
        <v>0</v>
      </c>
      <c r="AF31" s="19">
        <v>2.9784407859216409E-2</v>
      </c>
      <c r="AG31" s="19">
        <v>0.34096664931251713</v>
      </c>
      <c r="AH31" s="19">
        <v>60.84662788802256</v>
      </c>
      <c r="AI31" s="19">
        <v>1.1385828756690695</v>
      </c>
      <c r="AJ31" s="19">
        <v>0</v>
      </c>
      <c r="AK31" s="19">
        <v>0</v>
      </c>
      <c r="AL31" s="19">
        <v>0</v>
      </c>
      <c r="AM31" s="19">
        <v>0</v>
      </c>
      <c r="AN31" s="19">
        <v>0</v>
      </c>
      <c r="AO31" s="19">
        <v>2.0964576217682256E-2</v>
      </c>
    </row>
    <row r="32" spans="1:41" x14ac:dyDescent="0.2">
      <c r="A32" s="3" t="s">
        <v>566</v>
      </c>
      <c r="B32" s="19">
        <v>9.8100610860331336</v>
      </c>
      <c r="C32" s="19">
        <v>0</v>
      </c>
      <c r="D32" s="19">
        <v>9.9739849215872353E-2</v>
      </c>
      <c r="E32" s="19">
        <v>112.5155410813617</v>
      </c>
      <c r="F32" s="19">
        <v>1.7864711865513416</v>
      </c>
      <c r="G32" s="19">
        <v>5.0446846256897802</v>
      </c>
      <c r="H32" s="19">
        <v>0.4274062475692687</v>
      </c>
      <c r="I32" s="19">
        <v>41.963990662355307</v>
      </c>
      <c r="J32" s="19">
        <v>1.4998720905880703</v>
      </c>
      <c r="K32" s="19">
        <v>81.994556731337056</v>
      </c>
      <c r="L32" s="19">
        <v>45.525562241743678</v>
      </c>
      <c r="M32" s="19">
        <v>3.2956900568133357E-2</v>
      </c>
      <c r="N32" s="19">
        <v>6.5876000731496323</v>
      </c>
      <c r="O32" s="19">
        <v>9.6177526329100885E-2</v>
      </c>
      <c r="P32" s="19">
        <v>0</v>
      </c>
      <c r="Q32" s="19">
        <v>0.1385180336180146</v>
      </c>
      <c r="R32" s="19">
        <v>0</v>
      </c>
      <c r="S32" s="19">
        <v>8.4652919656138165E-2</v>
      </c>
      <c r="T32" s="19">
        <v>0.44028520776770996</v>
      </c>
      <c r="U32" s="19">
        <v>0.65997176099971744</v>
      </c>
      <c r="V32" s="19">
        <v>4.1883857176157093</v>
      </c>
      <c r="W32" s="19">
        <v>0.26274730114348194</v>
      </c>
      <c r="X32" s="19">
        <v>10.492629290315669</v>
      </c>
      <c r="Y32" s="19">
        <v>90.462498418283843</v>
      </c>
      <c r="Z32" s="19">
        <v>11.04963556285305</v>
      </c>
      <c r="AA32" s="19">
        <v>1.9825301541987284</v>
      </c>
      <c r="AB32" s="19">
        <v>1.0431336939518694</v>
      </c>
      <c r="AC32" s="19">
        <v>0</v>
      </c>
      <c r="AD32" s="19">
        <v>0</v>
      </c>
      <c r="AE32" s="19">
        <v>0</v>
      </c>
      <c r="AF32" s="19">
        <v>0</v>
      </c>
      <c r="AG32" s="19">
        <v>0</v>
      </c>
      <c r="AH32" s="19">
        <v>1.5807508520190037</v>
      </c>
      <c r="AI32" s="19">
        <v>1.0431336939518694</v>
      </c>
      <c r="AJ32" s="19">
        <v>0</v>
      </c>
      <c r="AK32" s="19">
        <v>0</v>
      </c>
      <c r="AL32" s="19">
        <v>0</v>
      </c>
      <c r="AM32" s="19">
        <v>0</v>
      </c>
      <c r="AN32" s="19">
        <v>0</v>
      </c>
      <c r="AO32" s="19">
        <v>0</v>
      </c>
    </row>
    <row r="33" spans="1:41" x14ac:dyDescent="0.2">
      <c r="A33" s="3" t="s">
        <v>567</v>
      </c>
      <c r="B33" s="19">
        <v>10.625964971889864</v>
      </c>
      <c r="C33" s="19">
        <v>2.5244746687445843</v>
      </c>
      <c r="D33" s="19">
        <v>7.4648539044730108E-2</v>
      </c>
      <c r="E33" s="19">
        <v>135.59893851183639</v>
      </c>
      <c r="F33" s="19">
        <v>0.67269378648691769</v>
      </c>
      <c r="G33" s="19">
        <v>96.537113694307095</v>
      </c>
      <c r="H33" s="19">
        <v>1.1787404092701412</v>
      </c>
      <c r="I33" s="19">
        <v>12.651502458080669</v>
      </c>
      <c r="J33" s="19">
        <v>1.3891226522724098</v>
      </c>
      <c r="K33" s="19">
        <v>43.659625165072079</v>
      </c>
      <c r="L33" s="19">
        <v>32.266759834241256</v>
      </c>
      <c r="M33" s="19">
        <v>3.5363190483350036E-2</v>
      </c>
      <c r="N33" s="19">
        <v>15.396415904089293</v>
      </c>
      <c r="O33" s="19">
        <v>0.15743765480660996</v>
      </c>
      <c r="P33" s="19">
        <v>7.1796453771181563E-3</v>
      </c>
      <c r="Q33" s="19">
        <v>6.5383774594251737E-2</v>
      </c>
      <c r="R33" s="19">
        <v>2.5361156376889963E-2</v>
      </c>
      <c r="S33" s="19">
        <v>0.17846857823582762</v>
      </c>
      <c r="T33" s="19">
        <v>3.5344796282240858</v>
      </c>
      <c r="U33" s="19">
        <v>0.46183525645061058</v>
      </c>
      <c r="V33" s="19">
        <v>4.6804940707026894</v>
      </c>
      <c r="W33" s="19">
        <v>0.49336627469631561</v>
      </c>
      <c r="X33" s="19">
        <v>12.054356632227933</v>
      </c>
      <c r="Y33" s="19">
        <v>105.91245432464797</v>
      </c>
      <c r="Z33" s="19">
        <v>14.610015949339681</v>
      </c>
      <c r="AA33" s="19">
        <v>3.0665811986732505</v>
      </c>
      <c r="AB33" s="19">
        <v>1.2637816492756615</v>
      </c>
      <c r="AC33" s="19">
        <v>9.2081883873361924E-4</v>
      </c>
      <c r="AD33" s="19">
        <v>0</v>
      </c>
      <c r="AE33" s="19">
        <v>2.4936297077979455E-3</v>
      </c>
      <c r="AF33" s="19">
        <v>0</v>
      </c>
      <c r="AG33" s="19">
        <v>0.39049830523961743</v>
      </c>
      <c r="AH33" s="19">
        <v>4.8981897044840172</v>
      </c>
      <c r="AI33" s="19">
        <v>3.1892952782151271E-3</v>
      </c>
      <c r="AJ33" s="19">
        <v>0</v>
      </c>
      <c r="AK33" s="19">
        <v>0</v>
      </c>
      <c r="AL33" s="19">
        <v>0</v>
      </c>
      <c r="AM33" s="19">
        <v>0</v>
      </c>
      <c r="AN33" s="19">
        <v>9.2081883873361924E-4</v>
      </c>
      <c r="AO33" s="19">
        <v>0</v>
      </c>
    </row>
    <row r="34" spans="1:41" x14ac:dyDescent="0.2">
      <c r="A34" s="3" t="s">
        <v>568</v>
      </c>
      <c r="B34" s="19">
        <v>43.267355440903444</v>
      </c>
      <c r="C34" s="19">
        <v>32.640427064250147</v>
      </c>
      <c r="D34" s="19">
        <v>0.17937079738581121</v>
      </c>
      <c r="E34" s="19">
        <v>371.95513540546273</v>
      </c>
      <c r="F34" s="19">
        <v>1.8558773899740615</v>
      </c>
      <c r="G34" s="19">
        <v>61.372517843607284</v>
      </c>
      <c r="H34" s="19">
        <v>2.6449778153242152</v>
      </c>
      <c r="I34" s="19">
        <v>30.125476773871856</v>
      </c>
      <c r="J34" s="19">
        <v>2.5387270543518414</v>
      </c>
      <c r="K34" s="19">
        <v>134.56387237156846</v>
      </c>
      <c r="L34" s="19">
        <v>143.3762235993396</v>
      </c>
      <c r="M34" s="19">
        <v>0.26885377158625151</v>
      </c>
      <c r="N34" s="19">
        <v>415.13233381296533</v>
      </c>
      <c r="O34" s="19">
        <v>0.22161091262801885</v>
      </c>
      <c r="P34" s="19">
        <v>0.14538769299684096</v>
      </c>
      <c r="Q34" s="19">
        <v>0.18877172533476558</v>
      </c>
      <c r="R34" s="19">
        <v>0.46630865771649299</v>
      </c>
      <c r="S34" s="19">
        <v>0.83382829182106555</v>
      </c>
      <c r="T34" s="19">
        <v>105.75818806307366</v>
      </c>
      <c r="U34" s="19">
        <v>0.84533812743351266</v>
      </c>
      <c r="V34" s="19">
        <v>27.21234531238732</v>
      </c>
      <c r="W34" s="19">
        <v>2.5070793743230819</v>
      </c>
      <c r="X34" s="19">
        <v>32.137236717851017</v>
      </c>
      <c r="Y34" s="19">
        <v>211.24924985297034</v>
      </c>
      <c r="Z34" s="19">
        <v>131.47254817663233</v>
      </c>
      <c r="AA34" s="19">
        <v>48.738432570666518</v>
      </c>
      <c r="AB34" s="19">
        <v>1.6601634313530689</v>
      </c>
      <c r="AC34" s="19">
        <v>0</v>
      </c>
      <c r="AD34" s="19">
        <v>3.1851430927017949E-2</v>
      </c>
      <c r="AE34" s="19">
        <v>3.8229609320800849E-2</v>
      </c>
      <c r="AF34" s="19">
        <v>2.8153219049504373E-2</v>
      </c>
      <c r="AG34" s="19">
        <v>0.24119499691078797</v>
      </c>
      <c r="AH34" s="19">
        <v>201.11587466466599</v>
      </c>
      <c r="AI34" s="19">
        <v>0.94921506022450031</v>
      </c>
      <c r="AJ34" s="19">
        <v>0</v>
      </c>
      <c r="AK34" s="19">
        <v>0</v>
      </c>
      <c r="AL34" s="19">
        <v>0</v>
      </c>
      <c r="AM34" s="19">
        <v>0</v>
      </c>
      <c r="AN34" s="19">
        <v>0</v>
      </c>
      <c r="AO34" s="19">
        <v>3.1851430927017949E-2</v>
      </c>
    </row>
    <row r="35" spans="1:41" x14ac:dyDescent="0.2">
      <c r="A35" s="3" t="s">
        <v>630</v>
      </c>
      <c r="B35" s="19">
        <v>55.797494942434398</v>
      </c>
      <c r="C35" s="19">
        <v>26.199693782172343</v>
      </c>
      <c r="D35" s="19">
        <v>0.15373419389215875</v>
      </c>
      <c r="E35" s="19">
        <v>373.07523161937502</v>
      </c>
      <c r="F35" s="19">
        <v>1.6416960319875584</v>
      </c>
      <c r="G35" s="19">
        <v>76.370979506408645</v>
      </c>
      <c r="H35" s="19">
        <v>2.1301560646198729</v>
      </c>
      <c r="I35" s="19">
        <v>22.96029810884378</v>
      </c>
      <c r="J35" s="19">
        <v>2.0743896633583776</v>
      </c>
      <c r="K35" s="19">
        <v>103.31890599579063</v>
      </c>
      <c r="L35" s="19">
        <v>121.43899304923725</v>
      </c>
      <c r="M35" s="19">
        <v>0.22152068956331514</v>
      </c>
      <c r="N35" s="19">
        <v>290.34951475267235</v>
      </c>
      <c r="O35" s="19">
        <v>0.20992787521992484</v>
      </c>
      <c r="P35" s="19">
        <v>0.20661617404758303</v>
      </c>
      <c r="Q35" s="19">
        <v>9.3853426832391076E-2</v>
      </c>
      <c r="R35" s="19">
        <v>1.7200332592961651</v>
      </c>
      <c r="S35" s="19">
        <v>0.84759876168811876</v>
      </c>
      <c r="T35" s="19">
        <v>67.099623700855489</v>
      </c>
      <c r="U35" s="19">
        <v>0.63644300113046781</v>
      </c>
      <c r="V35" s="19">
        <v>33.043552479301411</v>
      </c>
      <c r="W35" s="19">
        <v>2.6849589309255828</v>
      </c>
      <c r="X35" s="19">
        <v>19.04345916998572</v>
      </c>
      <c r="Y35" s="19">
        <v>218.99765302155348</v>
      </c>
      <c r="Z35" s="19">
        <v>142.5802792282588</v>
      </c>
      <c r="AA35" s="19">
        <v>35.425006415588058</v>
      </c>
      <c r="AB35" s="19">
        <v>1.7539889726608822</v>
      </c>
      <c r="AC35" s="19">
        <v>5.0754517798132382E-3</v>
      </c>
      <c r="AD35" s="19">
        <v>4.8577833034711193E-2</v>
      </c>
      <c r="AE35" s="19">
        <v>7.5700843702102665E-3</v>
      </c>
      <c r="AF35" s="19">
        <v>8.8070612776038559E-2</v>
      </c>
      <c r="AG35" s="19">
        <v>1.3132466281642012</v>
      </c>
      <c r="AH35" s="19">
        <v>210.19394730068626</v>
      </c>
      <c r="AI35" s="19">
        <v>3.1904478890512858E-2</v>
      </c>
      <c r="AJ35" s="19">
        <v>0</v>
      </c>
      <c r="AK35" s="19">
        <v>4.7942673028960152E-3</v>
      </c>
      <c r="AL35" s="19">
        <v>8.1734953137987346E-5</v>
      </c>
      <c r="AM35" s="19">
        <v>2.8118447691722313E-4</v>
      </c>
      <c r="AN35" s="19">
        <v>0</v>
      </c>
      <c r="AO35" s="19">
        <v>4.8577833034711193E-2</v>
      </c>
    </row>
    <row r="36" spans="1:41" x14ac:dyDescent="0.2">
      <c r="A36" s="3" t="s">
        <v>631</v>
      </c>
      <c r="B36" s="19">
        <v>24.673093240521421</v>
      </c>
      <c r="C36" s="19">
        <v>7.0463058330166408</v>
      </c>
      <c r="D36" s="19">
        <v>0.24772222858717147</v>
      </c>
      <c r="E36" s="19">
        <v>477.64732452398914</v>
      </c>
      <c r="F36" s="19">
        <v>8.7030562108442187</v>
      </c>
      <c r="G36" s="19">
        <v>33.802605033795196</v>
      </c>
      <c r="H36" s="19">
        <v>2.5920540068320941</v>
      </c>
      <c r="I36" s="19">
        <v>92.498835032846486</v>
      </c>
      <c r="J36" s="19">
        <v>2.246523569718879</v>
      </c>
      <c r="K36" s="19">
        <v>218.16977351573004</v>
      </c>
      <c r="L36" s="19">
        <v>208.43152179196161</v>
      </c>
      <c r="M36" s="19">
        <v>0.1486636710462827</v>
      </c>
      <c r="N36" s="19">
        <v>683.8155617748921</v>
      </c>
      <c r="O36" s="19">
        <v>0.18133863915431267</v>
      </c>
      <c r="P36" s="19">
        <v>8.4676835084581507E-3</v>
      </c>
      <c r="Q36" s="19">
        <v>0.15868564487571168</v>
      </c>
      <c r="R36" s="19">
        <v>0.14584712337599423</v>
      </c>
      <c r="S36" s="19">
        <v>2.9802296387406866</v>
      </c>
      <c r="T36" s="19">
        <v>25.886305530317902</v>
      </c>
      <c r="U36" s="19">
        <v>2.1960358008782697</v>
      </c>
      <c r="V36" s="19">
        <v>70.564770377290913</v>
      </c>
      <c r="W36" s="19">
        <v>4.2349973563323511</v>
      </c>
      <c r="X36" s="19">
        <v>34.012583103668938</v>
      </c>
      <c r="Y36" s="19">
        <v>250.85343329361751</v>
      </c>
      <c r="Z36" s="19">
        <v>206.20186777715958</v>
      </c>
      <c r="AA36" s="19">
        <v>49.067885399773409</v>
      </c>
      <c r="AB36" s="19">
        <v>2.8988899273186028</v>
      </c>
      <c r="AC36" s="19">
        <v>2.4853809607153238E-2</v>
      </c>
      <c r="AD36" s="19">
        <v>0</v>
      </c>
      <c r="AE36" s="19">
        <v>5.9856287817540398E-3</v>
      </c>
      <c r="AF36" s="19">
        <v>6.6051156683069934E-2</v>
      </c>
      <c r="AG36" s="19">
        <v>12.809017634820329</v>
      </c>
      <c r="AH36" s="19">
        <v>95.814592195511054</v>
      </c>
      <c r="AI36" s="19">
        <v>2.6839438031353993</v>
      </c>
      <c r="AJ36" s="19">
        <v>0</v>
      </c>
      <c r="AK36" s="19">
        <v>0</v>
      </c>
      <c r="AL36" s="19">
        <v>0</v>
      </c>
      <c r="AM36" s="19">
        <v>2.4853809607153238E-2</v>
      </c>
      <c r="AN36" s="19">
        <v>0</v>
      </c>
      <c r="AO36" s="19">
        <v>0</v>
      </c>
    </row>
    <row r="37" spans="1:41" x14ac:dyDescent="0.2">
      <c r="A37" s="3" t="s">
        <v>348</v>
      </c>
      <c r="B37" s="19">
        <v>107.34099953162182</v>
      </c>
      <c r="C37" s="19">
        <v>1.441711701893561</v>
      </c>
      <c r="D37" s="19">
        <v>0.15494573951807622</v>
      </c>
      <c r="E37" s="19">
        <v>486.81072548349101</v>
      </c>
      <c r="F37" s="19">
        <v>3.7860572152839453</v>
      </c>
      <c r="G37" s="19">
        <v>117.42886898451128</v>
      </c>
      <c r="H37" s="19">
        <v>2.9911182956770124</v>
      </c>
      <c r="I37" s="19">
        <v>50.207726641439614</v>
      </c>
      <c r="J37" s="19">
        <v>3.183392428452235</v>
      </c>
      <c r="K37" s="19">
        <v>167.72085127791217</v>
      </c>
      <c r="L37" s="19">
        <v>174.44372700232361</v>
      </c>
      <c r="M37" s="19">
        <v>0.32094780838287562</v>
      </c>
      <c r="N37" s="19">
        <v>877.89974762344377</v>
      </c>
      <c r="O37" s="19">
        <v>0.27869451404926454</v>
      </c>
      <c r="P37" s="19">
        <v>7.4736014459072256E-2</v>
      </c>
      <c r="Q37" s="19">
        <v>0.19064413188278997</v>
      </c>
      <c r="R37" s="19">
        <v>0.2048062218260972</v>
      </c>
      <c r="S37" s="19">
        <v>2.3010384567848332</v>
      </c>
      <c r="T37" s="19">
        <v>7.2890559306793108</v>
      </c>
      <c r="U37" s="19">
        <v>1.0634072916390425</v>
      </c>
      <c r="V37" s="19">
        <v>42.863708363484641</v>
      </c>
      <c r="W37" s="19">
        <v>3.0321407103040707</v>
      </c>
      <c r="X37" s="19">
        <v>31.916380505293283</v>
      </c>
      <c r="Y37" s="19">
        <v>253.85836192877639</v>
      </c>
      <c r="Z37" s="19">
        <v>207.01433181232022</v>
      </c>
      <c r="AA37" s="19">
        <v>39.136291059834129</v>
      </c>
      <c r="AB37" s="19">
        <v>4.5353368899084545</v>
      </c>
      <c r="AC37" s="19">
        <v>1.1167618288298086E-3</v>
      </c>
      <c r="AD37" s="19">
        <v>0</v>
      </c>
      <c r="AE37" s="19">
        <v>4.3373115308523003E-2</v>
      </c>
      <c r="AF37" s="19">
        <v>5.7494006397084303E-2</v>
      </c>
      <c r="AG37" s="19">
        <v>15.635289629768339</v>
      </c>
      <c r="AH37" s="19">
        <v>45.386326678322597</v>
      </c>
      <c r="AI37" s="19">
        <v>2.2923657764411805E-2</v>
      </c>
      <c r="AJ37" s="19">
        <v>0</v>
      </c>
      <c r="AK37" s="19">
        <v>1.9506924989136284E-5</v>
      </c>
      <c r="AL37" s="19">
        <v>0</v>
      </c>
      <c r="AM37" s="19">
        <v>6.4361513760394977E-4</v>
      </c>
      <c r="AN37" s="19">
        <v>4.5363976623672255E-4</v>
      </c>
      <c r="AO37" s="19">
        <v>0</v>
      </c>
    </row>
    <row r="38" spans="1:41" x14ac:dyDescent="0.2">
      <c r="A38" s="2" t="s">
        <v>582</v>
      </c>
      <c r="B38" s="19">
        <v>130.69008727056647</v>
      </c>
      <c r="C38" s="19">
        <v>25.599536386679016</v>
      </c>
      <c r="D38" s="19">
        <v>0.11668093163102761</v>
      </c>
      <c r="E38" s="19">
        <v>236.86186299083988</v>
      </c>
      <c r="F38" s="19">
        <v>1.5965190666584006</v>
      </c>
      <c r="G38" s="19">
        <v>70.470970745837363</v>
      </c>
      <c r="H38" s="19">
        <v>1.817152372088819</v>
      </c>
      <c r="I38" s="19">
        <v>22.188589363178387</v>
      </c>
      <c r="J38" s="19">
        <v>2.2073769478427803</v>
      </c>
      <c r="K38" s="19">
        <v>151.13509246916294</v>
      </c>
      <c r="L38" s="19">
        <v>176.20981376350409</v>
      </c>
      <c r="M38" s="19">
        <v>0.20304689769444975</v>
      </c>
      <c r="N38" s="19">
        <v>316.79283346994794</v>
      </c>
      <c r="O38" s="19">
        <v>0.20437305657124138</v>
      </c>
      <c r="P38" s="19">
        <v>0.38444027718948454</v>
      </c>
      <c r="Q38" s="19">
        <v>0.10935360538605413</v>
      </c>
      <c r="R38" s="19">
        <v>3.7223378405731529</v>
      </c>
      <c r="S38" s="19">
        <v>0.61485526665837986</v>
      </c>
      <c r="T38" s="19">
        <v>39.654898370502025</v>
      </c>
      <c r="U38" s="19">
        <v>1.3401855286157474</v>
      </c>
      <c r="V38" s="19">
        <v>12.952638505170963</v>
      </c>
      <c r="W38" s="19">
        <v>1.3094140332839475</v>
      </c>
      <c r="X38" s="19">
        <v>39.898910295771152</v>
      </c>
      <c r="Y38" s="19">
        <v>97.366483931479834</v>
      </c>
      <c r="Z38" s="19">
        <v>98.89232161131946</v>
      </c>
      <c r="AA38" s="19">
        <v>38.094130321799973</v>
      </c>
      <c r="AB38" s="19">
        <v>1.4909217920544808</v>
      </c>
      <c r="AC38" s="19">
        <v>0.16937969799353514</v>
      </c>
      <c r="AD38" s="19">
        <v>1.2205124047707169E-3</v>
      </c>
      <c r="AE38" s="19">
        <v>0.33704850740960035</v>
      </c>
      <c r="AF38" s="19">
        <v>0.39147302163771702</v>
      </c>
      <c r="AG38" s="19">
        <v>0.90508414898590428</v>
      </c>
      <c r="AH38" s="19">
        <v>68.72318411937654</v>
      </c>
      <c r="AI38" s="19">
        <v>7.3200634439436998E-5</v>
      </c>
      <c r="AJ38" s="19">
        <v>2.3187211279445481E-4</v>
      </c>
      <c r="AK38" s="19">
        <v>6.2139155276398953E-4</v>
      </c>
      <c r="AL38" s="19">
        <v>1.3976850478703121E-2</v>
      </c>
      <c r="AM38" s="19">
        <v>2.3680668189030619E-3</v>
      </c>
      <c r="AN38" s="19">
        <v>0.16601766701908677</v>
      </c>
      <c r="AO38" s="19">
        <v>1.2205124047707169E-3</v>
      </c>
    </row>
    <row r="39" spans="1:41" x14ac:dyDescent="0.2">
      <c r="A39" s="3" t="s">
        <v>349</v>
      </c>
      <c r="B39" s="19">
        <v>18.261544765237662</v>
      </c>
      <c r="C39" s="19">
        <v>7.3578542821866684</v>
      </c>
      <c r="D39" s="19">
        <v>7.5077234354661154E-2</v>
      </c>
      <c r="E39" s="19">
        <v>90.483038427770069</v>
      </c>
      <c r="F39" s="19">
        <v>0.87393188799343735</v>
      </c>
      <c r="G39" s="19">
        <v>41.136951164225977</v>
      </c>
      <c r="H39" s="19">
        <v>0.9153468089553688</v>
      </c>
      <c r="I39" s="19">
        <v>11.419618552160522</v>
      </c>
      <c r="J39" s="19">
        <v>1.1510634872083554</v>
      </c>
      <c r="K39" s="19">
        <v>41.990643531527439</v>
      </c>
      <c r="L39" s="19">
        <v>101.78563278327238</v>
      </c>
      <c r="M39" s="19">
        <v>6.5091503923343369E-2</v>
      </c>
      <c r="N39" s="19">
        <v>224.1719599009968</v>
      </c>
      <c r="O39" s="19">
        <v>9.135305138728593E-2</v>
      </c>
      <c r="P39" s="19">
        <v>9.3847007245435321E-2</v>
      </c>
      <c r="Q39" s="19">
        <v>5.7059238464750132E-2</v>
      </c>
      <c r="R39" s="19">
        <v>2.1164485896048784</v>
      </c>
      <c r="S39" s="19">
        <v>0.45426907175341802</v>
      </c>
      <c r="T39" s="19">
        <v>13.993093997519395</v>
      </c>
      <c r="U39" s="19">
        <v>0.42273077993837616</v>
      </c>
      <c r="V39" s="19">
        <v>5.2745499449761937</v>
      </c>
      <c r="W39" s="19">
        <v>0.413109766081519</v>
      </c>
      <c r="X39" s="19">
        <v>13.368257780190334</v>
      </c>
      <c r="Y39" s="19">
        <v>52.863101074395594</v>
      </c>
      <c r="Z39" s="19">
        <v>23.971186254396933</v>
      </c>
      <c r="AA39" s="19">
        <v>7.2909692658469281</v>
      </c>
      <c r="AB39" s="19">
        <v>0.59619702126513929</v>
      </c>
      <c r="AC39" s="19">
        <v>0.11540190975801871</v>
      </c>
      <c r="AD39" s="19">
        <v>1.4224666474317482E-4</v>
      </c>
      <c r="AE39" s="19">
        <v>1.7032602225649302E-2</v>
      </c>
      <c r="AF39" s="19">
        <v>0.19056656039949851</v>
      </c>
      <c r="AG39" s="19">
        <v>0.34354041186106654</v>
      </c>
      <c r="AH39" s="19">
        <v>15.26482711128069</v>
      </c>
      <c r="AI39" s="19">
        <v>2.8423695194334832E-3</v>
      </c>
      <c r="AJ39" s="19">
        <v>1.3711677710413449E-3</v>
      </c>
      <c r="AK39" s="19">
        <v>1.3571909664292657E-3</v>
      </c>
      <c r="AL39" s="19">
        <v>1.2428003021745173E-2</v>
      </c>
      <c r="AM39" s="19">
        <v>1.225577218214671E-3</v>
      </c>
      <c r="AN39" s="19">
        <v>0.1115044050443758</v>
      </c>
      <c r="AO39" s="19">
        <v>1.4224666474317482E-4</v>
      </c>
    </row>
    <row r="40" spans="1:41" x14ac:dyDescent="0.2">
      <c r="A40" s="3" t="s">
        <v>350</v>
      </c>
      <c r="B40" s="19">
        <v>8.800347206324588</v>
      </c>
      <c r="C40" s="19">
        <v>1.1242800761972788E-3</v>
      </c>
      <c r="D40" s="19">
        <v>5.7467983702899746E-2</v>
      </c>
      <c r="E40" s="19">
        <v>42.420953155641179</v>
      </c>
      <c r="F40" s="19">
        <v>0.20050379821935987</v>
      </c>
      <c r="G40" s="19">
        <v>21.936357916701894</v>
      </c>
      <c r="H40" s="19">
        <v>0.3642270234877083</v>
      </c>
      <c r="I40" s="19">
        <v>10.961653945747635</v>
      </c>
      <c r="J40" s="19">
        <v>0.29143876904916316</v>
      </c>
      <c r="K40" s="19">
        <v>14.14702026422346</v>
      </c>
      <c r="L40" s="19">
        <v>175.25248335725934</v>
      </c>
      <c r="M40" s="19">
        <v>2.6893741556330768E-2</v>
      </c>
      <c r="N40" s="19">
        <v>2.099489079737781</v>
      </c>
      <c r="O40" s="19">
        <v>6.1376987474583783E-2</v>
      </c>
      <c r="P40" s="19">
        <v>1.5177781028663265E-4</v>
      </c>
      <c r="Q40" s="19">
        <v>7.648599410854906E-2</v>
      </c>
      <c r="R40" s="19">
        <v>34.484461561921229</v>
      </c>
      <c r="S40" s="19">
        <v>0.20238196407456649</v>
      </c>
      <c r="T40" s="19">
        <v>8.3650389507172367</v>
      </c>
      <c r="U40" s="19">
        <v>7.3628090019685372E-2</v>
      </c>
      <c r="V40" s="19">
        <v>0.26824595313783201</v>
      </c>
      <c r="W40" s="19">
        <v>9.9407112065192094E-2</v>
      </c>
      <c r="X40" s="19">
        <v>2.3814548150124364</v>
      </c>
      <c r="Y40" s="19">
        <v>39.935841127707391</v>
      </c>
      <c r="Z40" s="19">
        <v>1.2105881250437682</v>
      </c>
      <c r="AA40" s="19">
        <v>0.15706341305919727</v>
      </c>
      <c r="AB40" s="19">
        <v>0</v>
      </c>
      <c r="AC40" s="19">
        <v>0</v>
      </c>
      <c r="AD40" s="19">
        <v>0.40112754449310417</v>
      </c>
      <c r="AE40" s="19">
        <v>7.7204312832467126E-5</v>
      </c>
      <c r="AF40" s="19">
        <v>0</v>
      </c>
      <c r="AG40" s="19">
        <v>0</v>
      </c>
      <c r="AH40" s="19">
        <v>0.45345650260765707</v>
      </c>
      <c r="AI40" s="19">
        <v>0</v>
      </c>
      <c r="AJ40" s="19">
        <v>0</v>
      </c>
      <c r="AK40" s="19">
        <v>0</v>
      </c>
      <c r="AL40" s="19">
        <v>0</v>
      </c>
      <c r="AM40" s="19">
        <v>0</v>
      </c>
      <c r="AN40" s="19">
        <v>0</v>
      </c>
      <c r="AO40" s="19">
        <v>0</v>
      </c>
    </row>
    <row r="41" spans="1:41" x14ac:dyDescent="0.2">
      <c r="A41" s="2" t="s">
        <v>583</v>
      </c>
      <c r="B41" s="19">
        <v>15.593159461468412</v>
      </c>
      <c r="C41" s="19">
        <v>0</v>
      </c>
      <c r="D41" s="19">
        <v>3.994336639789188E-2</v>
      </c>
      <c r="E41" s="19">
        <v>36.477046048307571</v>
      </c>
      <c r="F41" s="19">
        <v>1.1701450702153922</v>
      </c>
      <c r="G41" s="19">
        <v>14.469840129390212</v>
      </c>
      <c r="H41" s="19">
        <v>0.20979645458724613</v>
      </c>
      <c r="I41" s="19">
        <v>10.221869731778147</v>
      </c>
      <c r="J41" s="19">
        <v>0.32411836140642925</v>
      </c>
      <c r="K41" s="19">
        <v>12.76040310065687</v>
      </c>
      <c r="L41" s="19">
        <v>162.521227806338</v>
      </c>
      <c r="M41" s="19">
        <v>2.429889045849435E-2</v>
      </c>
      <c r="N41" s="19">
        <v>4.4463427135098792</v>
      </c>
      <c r="O41" s="19">
        <v>4.6420743695221096E-2</v>
      </c>
      <c r="P41" s="19">
        <v>2.3695214512834961E-5</v>
      </c>
      <c r="Q41" s="19">
        <v>5.3833751174184936E-2</v>
      </c>
      <c r="R41" s="19">
        <v>28.141768386889815</v>
      </c>
      <c r="S41" s="19">
        <v>0.10980462399965224</v>
      </c>
      <c r="T41" s="19">
        <v>45.778257033107231</v>
      </c>
      <c r="U41" s="19">
        <v>0.10903635088240814</v>
      </c>
      <c r="V41" s="19">
        <v>0.36965220147512845</v>
      </c>
      <c r="W41" s="19">
        <v>0.16127543550934237</v>
      </c>
      <c r="X41" s="19">
        <v>2.9211023881894937</v>
      </c>
      <c r="Y41" s="19">
        <v>36.60101283858446</v>
      </c>
      <c r="Z41" s="19">
        <v>1.4453111235951506</v>
      </c>
      <c r="AA41" s="19">
        <v>0.21461765167752128</v>
      </c>
      <c r="AB41" s="19">
        <v>1.4018088905793158E-4</v>
      </c>
      <c r="AC41" s="19">
        <v>2.5893456496737933E-5</v>
      </c>
      <c r="AD41" s="19">
        <v>0.60487853939345582</v>
      </c>
      <c r="AE41" s="19">
        <v>7.431084454343021E-5</v>
      </c>
      <c r="AF41" s="19">
        <v>0</v>
      </c>
      <c r="AG41" s="19">
        <v>1.9551444332757895E-4</v>
      </c>
      <c r="AH41" s="19">
        <v>1.0005726604953598</v>
      </c>
      <c r="AI41" s="19">
        <v>0</v>
      </c>
      <c r="AJ41" s="19">
        <v>0</v>
      </c>
      <c r="AK41" s="19">
        <v>0</v>
      </c>
      <c r="AL41" s="19">
        <v>0</v>
      </c>
      <c r="AM41" s="19">
        <v>2.5893456496737933E-5</v>
      </c>
      <c r="AN41" s="19">
        <v>0</v>
      </c>
      <c r="AO41" s="19">
        <v>0.60487853939345582</v>
      </c>
    </row>
    <row r="42" spans="1:41" x14ac:dyDescent="0.2">
      <c r="A42" s="3" t="s">
        <v>351</v>
      </c>
      <c r="B42" s="19">
        <v>9.2125679829289631</v>
      </c>
      <c r="C42" s="19">
        <v>0</v>
      </c>
      <c r="D42" s="19">
        <v>3.2795044769012405E-2</v>
      </c>
      <c r="E42" s="19">
        <v>50.969442946344238</v>
      </c>
      <c r="F42" s="19">
        <v>0.18606606985273363</v>
      </c>
      <c r="G42" s="19">
        <v>4.4171424535321195</v>
      </c>
      <c r="H42" s="19">
        <v>0.32066997848161072</v>
      </c>
      <c r="I42" s="19">
        <v>6.048107506387459</v>
      </c>
      <c r="J42" s="19">
        <v>0.1835832009936213</v>
      </c>
      <c r="K42" s="19">
        <v>8.8963874177482918</v>
      </c>
      <c r="L42" s="19">
        <v>125.06688777291276</v>
      </c>
      <c r="M42" s="19">
        <v>2.5112879272993494E-2</v>
      </c>
      <c r="N42" s="19">
        <v>2.8012737729279551</v>
      </c>
      <c r="O42" s="19">
        <v>2.7739432867059471E-2</v>
      </c>
      <c r="P42" s="19">
        <v>0</v>
      </c>
      <c r="Q42" s="19">
        <v>4.8727829557070258E-2</v>
      </c>
      <c r="R42" s="19">
        <v>12.686466975413374</v>
      </c>
      <c r="S42" s="19">
        <v>6.8234631864003761E-2</v>
      </c>
      <c r="T42" s="19">
        <v>1.4311114125576767</v>
      </c>
      <c r="U42" s="19">
        <v>4.8387911074679393E-2</v>
      </c>
      <c r="V42" s="19">
        <v>0.24315643208525908</v>
      </c>
      <c r="W42" s="19">
        <v>9.0418510532235055E-2</v>
      </c>
      <c r="X42" s="19">
        <v>1.0508253469699342</v>
      </c>
      <c r="Y42" s="19">
        <v>50.463874655284613</v>
      </c>
      <c r="Z42" s="19">
        <v>0.9333788447339485</v>
      </c>
      <c r="AA42" s="19">
        <v>0.19176398712915815</v>
      </c>
      <c r="AB42" s="19">
        <v>0</v>
      </c>
      <c r="AC42" s="19">
        <v>1.0371604882362108E-4</v>
      </c>
      <c r="AD42" s="19">
        <v>0.39917418624941226</v>
      </c>
      <c r="AE42" s="19">
        <v>0</v>
      </c>
      <c r="AF42" s="19">
        <v>0</v>
      </c>
      <c r="AG42" s="19">
        <v>7.8656115003153539E-5</v>
      </c>
      <c r="AH42" s="19">
        <v>1.9771460764785325</v>
      </c>
      <c r="AI42" s="19">
        <v>0</v>
      </c>
      <c r="AJ42" s="19">
        <v>0</v>
      </c>
      <c r="AK42" s="19">
        <v>1.0371604882362108E-4</v>
      </c>
      <c r="AL42" s="19">
        <v>0</v>
      </c>
      <c r="AM42" s="19">
        <v>0</v>
      </c>
      <c r="AN42" s="19">
        <v>0</v>
      </c>
      <c r="AO42" s="19">
        <v>0</v>
      </c>
    </row>
    <row r="43" spans="1:41" x14ac:dyDescent="0.2">
      <c r="A43" s="2" t="s">
        <v>584</v>
      </c>
      <c r="B43" s="19">
        <v>8.126860733985005</v>
      </c>
      <c r="C43" s="19">
        <v>1.971043544576705E-2</v>
      </c>
      <c r="D43" s="19">
        <v>7.8174324707486559E-2</v>
      </c>
      <c r="E43" s="19">
        <v>75.939651043933225</v>
      </c>
      <c r="F43" s="19">
        <v>2.3400860673444663</v>
      </c>
      <c r="G43" s="19">
        <v>10.657878681274438</v>
      </c>
      <c r="H43" s="19">
        <v>0.27185619894882479</v>
      </c>
      <c r="I43" s="19">
        <v>13.838526414554696</v>
      </c>
      <c r="J43" s="19">
        <v>0.45004927434566344</v>
      </c>
      <c r="K43" s="19">
        <v>18.977508357326744</v>
      </c>
      <c r="L43" s="19">
        <v>222.85673016409021</v>
      </c>
      <c r="M43" s="19">
        <v>5.1147217814360449E-2</v>
      </c>
      <c r="N43" s="19">
        <v>2.4841281764081264</v>
      </c>
      <c r="O43" s="19">
        <v>3.2485534517630671E-2</v>
      </c>
      <c r="P43" s="19">
        <v>9.1269690043680734E-5</v>
      </c>
      <c r="Q43" s="19">
        <v>0.15081083876801962</v>
      </c>
      <c r="R43" s="19">
        <v>8.324176702753693</v>
      </c>
      <c r="S43" s="19">
        <v>0.31455993364106694</v>
      </c>
      <c r="T43" s="19">
        <v>6.8350887751067866</v>
      </c>
      <c r="U43" s="19">
        <v>0.1213702970704086</v>
      </c>
      <c r="V43" s="19">
        <v>1.0222496541639376</v>
      </c>
      <c r="W43" s="19">
        <v>0.18070008258143894</v>
      </c>
      <c r="X43" s="19">
        <v>3.0107053839263793</v>
      </c>
      <c r="Y43" s="19">
        <v>73.873473075217049</v>
      </c>
      <c r="Z43" s="19">
        <v>7.0798648299836264</v>
      </c>
      <c r="AA43" s="19">
        <v>1.3162428582778158</v>
      </c>
      <c r="AB43" s="19">
        <v>3.4357685847120808E-4</v>
      </c>
      <c r="AC43" s="19">
        <v>1.5252749730531519E-4</v>
      </c>
      <c r="AD43" s="19">
        <v>0.71999677934547368</v>
      </c>
      <c r="AE43" s="19">
        <v>6.1271777838345246E-4</v>
      </c>
      <c r="AF43" s="19">
        <v>7.9518420089530527E-4</v>
      </c>
      <c r="AG43" s="19">
        <v>2.5865808599571483E-2</v>
      </c>
      <c r="AH43" s="19">
        <v>4.8031945046206408</v>
      </c>
      <c r="AI43" s="19">
        <v>0</v>
      </c>
      <c r="AJ43" s="19">
        <v>2.4948669461952798E-6</v>
      </c>
      <c r="AK43" s="19">
        <v>0</v>
      </c>
      <c r="AL43" s="19">
        <v>0</v>
      </c>
      <c r="AM43" s="19">
        <v>3.0367106231460849E-5</v>
      </c>
      <c r="AN43" s="19">
        <v>1.1989233021367679E-4</v>
      </c>
      <c r="AO43" s="19">
        <v>0.71999677934547368</v>
      </c>
    </row>
    <row r="44" spans="1:41" x14ac:dyDescent="0.2">
      <c r="A44" s="2" t="s">
        <v>230</v>
      </c>
      <c r="B44" s="19">
        <v>17.022730710198495</v>
      </c>
      <c r="C44" s="19">
        <v>3.1913652197603959</v>
      </c>
      <c r="D44" s="19">
        <v>0.19211624664898544</v>
      </c>
      <c r="E44" s="19">
        <v>305.13887686535116</v>
      </c>
      <c r="F44" s="19">
        <v>3.154013838320568</v>
      </c>
      <c r="G44" s="19">
        <v>14.94466217833714</v>
      </c>
      <c r="H44" s="19">
        <v>0.91084615748219611</v>
      </c>
      <c r="I44" s="19">
        <v>36.912764782776371</v>
      </c>
      <c r="J44" s="19">
        <v>2.5079217647653991</v>
      </c>
      <c r="K44" s="19">
        <v>107.25310184888201</v>
      </c>
      <c r="L44" s="19">
        <v>663.05225175071189</v>
      </c>
      <c r="M44" s="19">
        <v>6.3765334456172065E-2</v>
      </c>
      <c r="N44" s="19">
        <v>209.34488610195848</v>
      </c>
      <c r="O44" s="19">
        <v>0.11177159956919176</v>
      </c>
      <c r="P44" s="19">
        <v>1.0304564380039417E-2</v>
      </c>
      <c r="Q44" s="19">
        <v>0.3812208905602596</v>
      </c>
      <c r="R44" s="19">
        <v>14.295897221789026</v>
      </c>
      <c r="S44" s="19">
        <v>2.1735121460267011</v>
      </c>
      <c r="T44" s="19">
        <v>2.623486720511246</v>
      </c>
      <c r="U44" s="19">
        <v>0.51741245359028787</v>
      </c>
      <c r="V44" s="19">
        <v>36.953865894233736</v>
      </c>
      <c r="W44" s="19">
        <v>2.1323579349360227</v>
      </c>
      <c r="X44" s="19">
        <v>16.054728530634389</v>
      </c>
      <c r="Y44" s="19">
        <v>142.32894957202478</v>
      </c>
      <c r="Z44" s="19">
        <v>151.01360400950023</v>
      </c>
      <c r="AA44" s="19">
        <v>36.177573990736335</v>
      </c>
      <c r="AB44" s="19">
        <v>8.4172852892126868E-3</v>
      </c>
      <c r="AC44" s="19">
        <v>0.79140186851656547</v>
      </c>
      <c r="AD44" s="19">
        <v>0</v>
      </c>
      <c r="AE44" s="19">
        <v>4.6757406727647782E-3</v>
      </c>
      <c r="AF44" s="19">
        <v>1.472868336604361E-2</v>
      </c>
      <c r="AG44" s="19">
        <v>7.0681357834302583</v>
      </c>
      <c r="AH44" s="19">
        <v>75.10949816596252</v>
      </c>
      <c r="AI44" s="19">
        <v>2.0314843299796578E-3</v>
      </c>
      <c r="AJ44" s="19">
        <v>0</v>
      </c>
      <c r="AK44" s="19">
        <v>0</v>
      </c>
      <c r="AL44" s="19">
        <v>0</v>
      </c>
      <c r="AM44" s="19">
        <v>0.77246685610422072</v>
      </c>
      <c r="AN44" s="19">
        <v>1.8761943330279442E-2</v>
      </c>
      <c r="AO44" s="19">
        <v>0</v>
      </c>
    </row>
    <row r="45" spans="1:41" x14ac:dyDescent="0.2">
      <c r="A45" s="3" t="s">
        <v>352</v>
      </c>
      <c r="B45" s="19">
        <v>23.747245060620973</v>
      </c>
      <c r="C45" s="19">
        <v>2.9982841705119267</v>
      </c>
      <c r="D45" s="19">
        <v>0.12946374958543241</v>
      </c>
      <c r="E45" s="19">
        <v>98.629193642132151</v>
      </c>
      <c r="F45" s="19">
        <v>1.5543175995882541</v>
      </c>
      <c r="G45" s="19">
        <v>10.516081820030013</v>
      </c>
      <c r="H45" s="19">
        <v>0.40367802652893947</v>
      </c>
      <c r="I45" s="19">
        <v>19.36461794285302</v>
      </c>
      <c r="J45" s="19">
        <v>1.1301833336680494</v>
      </c>
      <c r="K45" s="19">
        <v>52.288046375413401</v>
      </c>
      <c r="L45" s="19">
        <v>323.46395685576027</v>
      </c>
      <c r="M45" s="19">
        <v>4.3751891821018768E-2</v>
      </c>
      <c r="N45" s="19">
        <v>73.742242393756555</v>
      </c>
      <c r="O45" s="19">
        <v>9.415892699311626E-2</v>
      </c>
      <c r="P45" s="19">
        <v>4.6852041251490235E-2</v>
      </c>
      <c r="Q45" s="19">
        <v>0.231945935546715</v>
      </c>
      <c r="R45" s="19">
        <v>8.7679275542795274</v>
      </c>
      <c r="S45" s="19">
        <v>0.16043081687429317</v>
      </c>
      <c r="T45" s="19">
        <v>24.017370595757743</v>
      </c>
      <c r="U45" s="19">
        <v>0.30600560561972412</v>
      </c>
      <c r="V45" s="19">
        <v>4.4613767695834188</v>
      </c>
      <c r="W45" s="19">
        <v>0.53145998691440988</v>
      </c>
      <c r="X45" s="19">
        <v>8.6758634504606338</v>
      </c>
      <c r="Y45" s="19">
        <v>69.01331210251972</v>
      </c>
      <c r="Z45" s="19">
        <v>22.869187416746648</v>
      </c>
      <c r="AA45" s="19">
        <v>8.0899731179900911</v>
      </c>
      <c r="AB45" s="19">
        <v>7.3397957600771042E-3</v>
      </c>
      <c r="AC45" s="19">
        <v>0.59202676031642298</v>
      </c>
      <c r="AD45" s="19">
        <v>0</v>
      </c>
      <c r="AE45" s="19">
        <v>5.2455062487792692E-2</v>
      </c>
      <c r="AF45" s="19">
        <v>1.3563081349488238E-2</v>
      </c>
      <c r="AG45" s="19">
        <v>5.8394059148925384E-2</v>
      </c>
      <c r="AH45" s="19">
        <v>17.965513872750513</v>
      </c>
      <c r="AI45" s="19">
        <v>0</v>
      </c>
      <c r="AJ45" s="19">
        <v>2.1135999100427197E-5</v>
      </c>
      <c r="AK45" s="19">
        <v>0</v>
      </c>
      <c r="AL45" s="19">
        <v>0</v>
      </c>
      <c r="AM45" s="19">
        <v>0.58908192774267787</v>
      </c>
      <c r="AN45" s="19">
        <v>2.900019961118756E-3</v>
      </c>
      <c r="AO45" s="19">
        <v>0</v>
      </c>
    </row>
    <row r="46" spans="1:41" x14ac:dyDescent="0.2">
      <c r="A46" s="2" t="s">
        <v>176</v>
      </c>
      <c r="B46" s="19">
        <v>108.85158807134691</v>
      </c>
      <c r="C46" s="19">
        <v>1.8555395323758239</v>
      </c>
      <c r="D46" s="19">
        <v>0.11879587019626726</v>
      </c>
      <c r="E46" s="19">
        <v>46.376414978086551</v>
      </c>
      <c r="F46" s="19">
        <v>2.8830989875675903</v>
      </c>
      <c r="G46" s="19">
        <v>86.884006973207704</v>
      </c>
      <c r="H46" s="19">
        <v>1.0564309616958292</v>
      </c>
      <c r="I46" s="19">
        <v>24.294903210552359</v>
      </c>
      <c r="J46" s="19">
        <v>0.52922668854610755</v>
      </c>
      <c r="K46" s="19">
        <v>43.228307385170595</v>
      </c>
      <c r="L46" s="19">
        <v>214.80933299401781</v>
      </c>
      <c r="M46" s="19">
        <v>9.5811805401971761E-2</v>
      </c>
      <c r="N46" s="19">
        <v>54.270845924289844</v>
      </c>
      <c r="O46" s="19">
        <v>5.1405608431088233E-2</v>
      </c>
      <c r="P46" s="19">
        <v>1.2070652169487623E-2</v>
      </c>
      <c r="Q46" s="19">
        <v>0.14610285453455452</v>
      </c>
      <c r="R46" s="19">
        <v>29.499507825141816</v>
      </c>
      <c r="S46" s="19">
        <v>1.5881472644147829</v>
      </c>
      <c r="T46" s="19">
        <v>330.77065091946781</v>
      </c>
      <c r="U46" s="19">
        <v>0.30338864724841103</v>
      </c>
      <c r="V46" s="19">
        <v>3.7940381757529522</v>
      </c>
      <c r="W46" s="19">
        <v>1.0893603454310545</v>
      </c>
      <c r="X46" s="19">
        <v>9.4744358416020962</v>
      </c>
      <c r="Y46" s="19">
        <v>20.108568363219117</v>
      </c>
      <c r="Z46" s="19">
        <v>22.305838746812675</v>
      </c>
      <c r="AA46" s="19">
        <v>6.4471661082072345</v>
      </c>
      <c r="AB46" s="19">
        <v>1.2723140676696372E-2</v>
      </c>
      <c r="AC46" s="19">
        <v>0.61722088937208885</v>
      </c>
      <c r="AD46" s="19">
        <v>0</v>
      </c>
      <c r="AE46" s="19">
        <v>1.3166787796924758E-2</v>
      </c>
      <c r="AF46" s="19">
        <v>0</v>
      </c>
      <c r="AG46" s="19">
        <v>0</v>
      </c>
      <c r="AH46" s="19">
        <v>18.076938595140167</v>
      </c>
      <c r="AI46" s="19">
        <v>0</v>
      </c>
      <c r="AJ46" s="19">
        <v>0.6161119760747219</v>
      </c>
      <c r="AK46" s="19">
        <v>0</v>
      </c>
      <c r="AL46" s="19">
        <v>0</v>
      </c>
      <c r="AM46" s="19">
        <v>0</v>
      </c>
      <c r="AN46" s="19">
        <v>1.1089132973670214E-3</v>
      </c>
      <c r="AO46" s="19">
        <v>0</v>
      </c>
    </row>
    <row r="47" spans="1:41" x14ac:dyDescent="0.2">
      <c r="A47" s="2" t="s">
        <v>448</v>
      </c>
      <c r="B47" s="19">
        <v>28.617757661843608</v>
      </c>
      <c r="C47" s="19">
        <v>2.2228898890264084</v>
      </c>
      <c r="D47" s="19">
        <v>6.8121673662408538E-2</v>
      </c>
      <c r="E47" s="19">
        <v>94.159880779830203</v>
      </c>
      <c r="F47" s="19">
        <v>2.6519470726379408</v>
      </c>
      <c r="G47" s="19">
        <v>10.618998957044274</v>
      </c>
      <c r="H47" s="19">
        <v>0.57332464870455713</v>
      </c>
      <c r="I47" s="19">
        <v>12.621916972077461</v>
      </c>
      <c r="J47" s="19">
        <v>0.58613870718640493</v>
      </c>
      <c r="K47" s="19">
        <v>31.216774684864543</v>
      </c>
      <c r="L47" s="19">
        <v>236.90347837500491</v>
      </c>
      <c r="M47" s="19">
        <v>4.9038816960372225E-2</v>
      </c>
      <c r="N47" s="19">
        <v>75.055796330418744</v>
      </c>
      <c r="O47" s="19">
        <v>5.1912022522240066E-2</v>
      </c>
      <c r="P47" s="19">
        <v>1.1328590618653567E-2</v>
      </c>
      <c r="Q47" s="19">
        <v>0.12504278796458951</v>
      </c>
      <c r="R47" s="19">
        <v>6.650111344792208</v>
      </c>
      <c r="S47" s="19">
        <v>1.1234863701170352</v>
      </c>
      <c r="T47" s="19">
        <v>656.25159484513551</v>
      </c>
      <c r="U47" s="19">
        <v>0.20809253119011806</v>
      </c>
      <c r="V47" s="19">
        <v>9.2195796651078048</v>
      </c>
      <c r="W47" s="19">
        <v>1.0383636764450646</v>
      </c>
      <c r="X47" s="19">
        <v>3.8574400674044216</v>
      </c>
      <c r="Y47" s="19">
        <v>62.235784726619229</v>
      </c>
      <c r="Z47" s="19">
        <v>30.901722097400221</v>
      </c>
      <c r="AA47" s="19">
        <v>8.1674504568792674</v>
      </c>
      <c r="AB47" s="19">
        <v>0</v>
      </c>
      <c r="AC47" s="19">
        <v>0.56194465638283586</v>
      </c>
      <c r="AD47" s="19">
        <v>1.527677897379711E-2</v>
      </c>
      <c r="AE47" s="19">
        <v>6.0387773203520092E-3</v>
      </c>
      <c r="AF47" s="19">
        <v>1.5329880517260962E-3</v>
      </c>
      <c r="AG47" s="19">
        <v>0.70219168396904841</v>
      </c>
      <c r="AH47" s="19">
        <v>38.059545979353295</v>
      </c>
      <c r="AI47" s="19">
        <v>0</v>
      </c>
      <c r="AJ47" s="19">
        <v>0</v>
      </c>
      <c r="AK47" s="19">
        <v>0.56194465638283586</v>
      </c>
      <c r="AL47" s="19">
        <v>0</v>
      </c>
      <c r="AM47" s="19">
        <v>0</v>
      </c>
      <c r="AN47" s="19">
        <v>0</v>
      </c>
      <c r="AO47" s="19">
        <v>1.527677897379711E-2</v>
      </c>
    </row>
    <row r="48" spans="1:41" x14ac:dyDescent="0.2">
      <c r="A48" s="3" t="s">
        <v>188</v>
      </c>
      <c r="B48" s="19">
        <v>64.157624127240879</v>
      </c>
      <c r="C48" s="19">
        <v>0</v>
      </c>
      <c r="D48" s="19">
        <v>7.2121727074867303E-2</v>
      </c>
      <c r="E48" s="19">
        <v>28.570184276883769</v>
      </c>
      <c r="F48" s="19">
        <v>2.9173484688008418</v>
      </c>
      <c r="G48" s="19">
        <v>86.23910991713629</v>
      </c>
      <c r="H48" s="19">
        <v>1.017468197124314</v>
      </c>
      <c r="I48" s="19">
        <v>27.398111545779905</v>
      </c>
      <c r="J48" s="19">
        <v>0.51662539894782011</v>
      </c>
      <c r="K48" s="19">
        <v>53.25925268269846</v>
      </c>
      <c r="L48" s="19">
        <v>262.51225270437794</v>
      </c>
      <c r="M48" s="19">
        <v>0.11249153624473975</v>
      </c>
      <c r="N48" s="19">
        <v>32.473401360644537</v>
      </c>
      <c r="O48" s="19">
        <v>6.3377098991341987E-2</v>
      </c>
      <c r="P48" s="19">
        <v>0</v>
      </c>
      <c r="Q48" s="19">
        <v>0.15186497296610418</v>
      </c>
      <c r="R48" s="19">
        <v>44.961482315149638</v>
      </c>
      <c r="S48" s="19">
        <v>1.3133423565026194</v>
      </c>
      <c r="T48" s="19">
        <v>169.36813594939181</v>
      </c>
      <c r="U48" s="19">
        <v>0.39562071871344195</v>
      </c>
      <c r="V48" s="19">
        <v>0.29579429559496284</v>
      </c>
      <c r="W48" s="19">
        <v>0.63123680324066511</v>
      </c>
      <c r="X48" s="19">
        <v>10.513732177343865</v>
      </c>
      <c r="Y48" s="19">
        <v>21.963804073807779</v>
      </c>
      <c r="Z48" s="19">
        <v>2.530909400876399</v>
      </c>
      <c r="AA48" s="19">
        <v>0.4158712304415414</v>
      </c>
      <c r="AB48" s="19">
        <v>0</v>
      </c>
      <c r="AC48" s="19">
        <v>0.77448605051326425</v>
      </c>
      <c r="AD48" s="19">
        <v>0</v>
      </c>
      <c r="AE48" s="19">
        <v>0</v>
      </c>
      <c r="AF48" s="19">
        <v>0</v>
      </c>
      <c r="AG48" s="19">
        <v>0</v>
      </c>
      <c r="AH48" s="19">
        <v>0</v>
      </c>
      <c r="AI48" s="19">
        <v>0</v>
      </c>
      <c r="AJ48" s="19">
        <v>0.77448605051326425</v>
      </c>
      <c r="AK48" s="19">
        <v>0</v>
      </c>
      <c r="AL48" s="19">
        <v>0</v>
      </c>
      <c r="AM48" s="19">
        <v>0</v>
      </c>
      <c r="AN48" s="19">
        <v>0</v>
      </c>
      <c r="AO48" s="19">
        <v>0</v>
      </c>
    </row>
    <row r="49" spans="1:41" x14ac:dyDescent="0.2">
      <c r="A49" s="3" t="s">
        <v>189</v>
      </c>
      <c r="B49" s="19">
        <v>31.428508710381585</v>
      </c>
      <c r="C49" s="19">
        <v>1.4052612965049513E-3</v>
      </c>
      <c r="D49" s="19">
        <v>6.0573435612778927E-2</v>
      </c>
      <c r="E49" s="19">
        <v>46.521937460658791</v>
      </c>
      <c r="F49" s="19">
        <v>2.8496770565724412</v>
      </c>
      <c r="G49" s="19">
        <v>15.846042874842801</v>
      </c>
      <c r="H49" s="19">
        <v>0.40967383199705626</v>
      </c>
      <c r="I49" s="19">
        <v>13.722829508405232</v>
      </c>
      <c r="J49" s="19">
        <v>0.90396960254651315</v>
      </c>
      <c r="K49" s="19">
        <v>35.833473937367174</v>
      </c>
      <c r="L49" s="19">
        <v>324.94714771338909</v>
      </c>
      <c r="M49" s="19">
        <v>6.282837873922982E-2</v>
      </c>
      <c r="N49" s="19">
        <v>57.870071920394196</v>
      </c>
      <c r="O49" s="19">
        <v>6.858410850542429E-2</v>
      </c>
      <c r="P49" s="19">
        <v>1.9673658151069323E-4</v>
      </c>
      <c r="Q49" s="19">
        <v>0.15988968079954111</v>
      </c>
      <c r="R49" s="19">
        <v>7.8607843039375611</v>
      </c>
      <c r="S49" s="19">
        <v>0.71637168975905319</v>
      </c>
      <c r="T49" s="19">
        <v>653.42288738725131</v>
      </c>
      <c r="U49" s="19">
        <v>0.24089383802406816</v>
      </c>
      <c r="V49" s="19">
        <v>0.86527444254032992</v>
      </c>
      <c r="W49" s="19">
        <v>0.13001399311157444</v>
      </c>
      <c r="X49" s="19">
        <v>4.1375256872974191</v>
      </c>
      <c r="Y49" s="19">
        <v>43.236680551235665</v>
      </c>
      <c r="Z49" s="19">
        <v>2.1091616829799125</v>
      </c>
      <c r="AA49" s="19">
        <v>0.36591413559414654</v>
      </c>
      <c r="AB49" s="19">
        <v>0</v>
      </c>
      <c r="AC49" s="19">
        <v>0.68234217197592995</v>
      </c>
      <c r="AD49" s="19">
        <v>0</v>
      </c>
      <c r="AE49" s="19">
        <v>8.159649718156001E-5</v>
      </c>
      <c r="AF49" s="19">
        <v>6.6609385454334695E-6</v>
      </c>
      <c r="AG49" s="19">
        <v>0</v>
      </c>
      <c r="AH49" s="19">
        <v>0.16066062836327769</v>
      </c>
      <c r="AI49" s="19">
        <v>0</v>
      </c>
      <c r="AJ49" s="19">
        <v>0</v>
      </c>
      <c r="AK49" s="19">
        <v>0.68231885869102094</v>
      </c>
      <c r="AL49" s="19">
        <v>0</v>
      </c>
      <c r="AM49" s="19">
        <v>0</v>
      </c>
      <c r="AN49" s="19">
        <v>2.3313284909017143E-5</v>
      </c>
      <c r="AO49" s="19">
        <v>0</v>
      </c>
    </row>
    <row r="50" spans="1:41" x14ac:dyDescent="0.2">
      <c r="A50" s="2" t="s">
        <v>155</v>
      </c>
      <c r="B50" s="19">
        <v>38.651574899997108</v>
      </c>
      <c r="C50" s="19">
        <v>1.6097146302659566</v>
      </c>
      <c r="D50" s="19">
        <v>7.8373489474552194E-2</v>
      </c>
      <c r="E50" s="19">
        <v>75.8818741348679</v>
      </c>
      <c r="F50" s="19">
        <v>2.3307287911450887</v>
      </c>
      <c r="G50" s="19">
        <v>35.530307081668539</v>
      </c>
      <c r="H50" s="19">
        <v>0.7148030654380314</v>
      </c>
      <c r="I50" s="19">
        <v>20.642371559479777</v>
      </c>
      <c r="J50" s="19">
        <v>0.76091153902387443</v>
      </c>
      <c r="K50" s="19">
        <v>47.978840562000045</v>
      </c>
      <c r="L50" s="19">
        <v>195.66217749640464</v>
      </c>
      <c r="M50" s="19">
        <v>9.0492520978603927E-2</v>
      </c>
      <c r="N50" s="19">
        <v>97.8594953003781</v>
      </c>
      <c r="O50" s="19">
        <v>7.8212505158483672E-2</v>
      </c>
      <c r="P50" s="19">
        <v>2.3486533314840942E-2</v>
      </c>
      <c r="Q50" s="19">
        <v>9.3046337685257607E-2</v>
      </c>
      <c r="R50" s="19">
        <v>12.337302120387305</v>
      </c>
      <c r="S50" s="19">
        <v>0.41226232973900506</v>
      </c>
      <c r="T50" s="19">
        <v>38.142865844355448</v>
      </c>
      <c r="U50" s="19">
        <v>0.38378678195714261</v>
      </c>
      <c r="V50" s="19">
        <v>8.0906663917080106</v>
      </c>
      <c r="W50" s="19">
        <v>1.1471228852675472</v>
      </c>
      <c r="X50" s="19">
        <v>9.2848677974031535</v>
      </c>
      <c r="Y50" s="19">
        <v>42.963104354268602</v>
      </c>
      <c r="Z50" s="19">
        <v>29.610791860653951</v>
      </c>
      <c r="AA50" s="19">
        <v>7.4354432958845402</v>
      </c>
      <c r="AB50" s="19">
        <v>2.0373934146875366E-2</v>
      </c>
      <c r="AC50" s="19">
        <v>0.56746332191876914</v>
      </c>
      <c r="AD50" s="19">
        <v>1.4507511457675712E-2</v>
      </c>
      <c r="AE50" s="19">
        <v>3.0090101666069791E-2</v>
      </c>
      <c r="AF50" s="19">
        <v>6.5918892829235933E-5</v>
      </c>
      <c r="AG50" s="19">
        <v>0.34747597446410738</v>
      </c>
      <c r="AH50" s="19">
        <v>18.853195342204856</v>
      </c>
      <c r="AI50" s="19">
        <v>0</v>
      </c>
      <c r="AJ50" s="19">
        <v>1.0971336150789587E-2</v>
      </c>
      <c r="AK50" s="19">
        <v>2.2552395481667489E-5</v>
      </c>
      <c r="AL50" s="19">
        <v>0</v>
      </c>
      <c r="AM50" s="19">
        <v>0.17992806748195111</v>
      </c>
      <c r="AN50" s="19">
        <v>0.37654458766132998</v>
      </c>
      <c r="AO50" s="19">
        <v>1.4507511457675712E-2</v>
      </c>
    </row>
    <row r="51" spans="1:41" x14ac:dyDescent="0.2">
      <c r="A51" s="2" t="s">
        <v>48</v>
      </c>
      <c r="B51" s="19">
        <v>34.719731597925268</v>
      </c>
      <c r="C51" s="19">
        <v>1.9111292919902521</v>
      </c>
      <c r="D51" s="19">
        <v>0.10835050041291364</v>
      </c>
      <c r="E51" s="19">
        <v>57.885800122093762</v>
      </c>
      <c r="F51" s="19">
        <v>1.0570045865967443</v>
      </c>
      <c r="G51" s="19">
        <v>10.282554266851196</v>
      </c>
      <c r="H51" s="19">
        <v>0.75012163002551535</v>
      </c>
      <c r="I51" s="19">
        <v>13.308698164314659</v>
      </c>
      <c r="J51" s="19">
        <v>0.87616264880606898</v>
      </c>
      <c r="K51" s="19">
        <v>41.028830518431853</v>
      </c>
      <c r="L51" s="19">
        <v>250.10851952981452</v>
      </c>
      <c r="M51" s="19">
        <v>6.708964049367723E-2</v>
      </c>
      <c r="N51" s="19">
        <v>376.75091942899684</v>
      </c>
      <c r="O51" s="19">
        <v>4.9460972099561039E-2</v>
      </c>
      <c r="P51" s="19">
        <v>6.2725644890570503E-2</v>
      </c>
      <c r="Q51" s="19">
        <v>9.2664016030539822E-2</v>
      </c>
      <c r="R51" s="19">
        <v>13.991638353380846</v>
      </c>
      <c r="S51" s="19">
        <v>1.5440761872143896</v>
      </c>
      <c r="T51" s="19">
        <v>41.369201102360059</v>
      </c>
      <c r="U51" s="19">
        <v>0.23250350703625369</v>
      </c>
      <c r="V51" s="19">
        <v>5.2747440696018728</v>
      </c>
      <c r="W51" s="19">
        <v>0.52527832229830285</v>
      </c>
      <c r="X51" s="19">
        <v>7.0811170714689524</v>
      </c>
      <c r="Y51" s="19">
        <v>34.548232999847585</v>
      </c>
      <c r="Z51" s="19">
        <v>17.955219720495254</v>
      </c>
      <c r="AA51" s="19">
        <v>4.3950812257557228</v>
      </c>
      <c r="AB51" s="19">
        <v>7.2631415593286522E-2</v>
      </c>
      <c r="AC51" s="19">
        <v>0.57300889694543722</v>
      </c>
      <c r="AD51" s="19">
        <v>0</v>
      </c>
      <c r="AE51" s="19">
        <v>6.6824865656248386E-2</v>
      </c>
      <c r="AF51" s="19">
        <v>9.4283062881277899E-3</v>
      </c>
      <c r="AG51" s="19">
        <v>7.3826148223616134E-2</v>
      </c>
      <c r="AH51" s="19">
        <v>13.951480282589761</v>
      </c>
      <c r="AI51" s="19">
        <v>0</v>
      </c>
      <c r="AJ51" s="19">
        <v>0</v>
      </c>
      <c r="AK51" s="19">
        <v>4.6691195366070359E-3</v>
      </c>
      <c r="AL51" s="19">
        <v>4.5267682979222072E-4</v>
      </c>
      <c r="AM51" s="19">
        <v>4.2752811702598623E-3</v>
      </c>
      <c r="AN51" s="19">
        <v>0.5644762831938831</v>
      </c>
      <c r="AO51" s="19">
        <v>0</v>
      </c>
    </row>
    <row r="52" spans="1:41" x14ac:dyDescent="0.2">
      <c r="A52" s="3" t="s">
        <v>190</v>
      </c>
      <c r="B52" s="19">
        <v>20.620145850495259</v>
      </c>
      <c r="C52" s="19">
        <v>1.6208182487507212</v>
      </c>
      <c r="D52" s="19">
        <v>5.7780224809483839E-2</v>
      </c>
      <c r="E52" s="19">
        <v>41.740957045299297</v>
      </c>
      <c r="F52" s="19">
        <v>1.5476348161104898</v>
      </c>
      <c r="G52" s="19">
        <v>36.483212666394898</v>
      </c>
      <c r="H52" s="19">
        <v>0.58884639985713594</v>
      </c>
      <c r="I52" s="19">
        <v>14.658717715317145</v>
      </c>
      <c r="J52" s="19">
        <v>0.57337563290469518</v>
      </c>
      <c r="K52" s="19">
        <v>38.83923347467114</v>
      </c>
      <c r="L52" s="19">
        <v>189.0054757198526</v>
      </c>
      <c r="M52" s="19">
        <v>5.3646368882805363E-2</v>
      </c>
      <c r="N52" s="19">
        <v>114.87759171324001</v>
      </c>
      <c r="O52" s="19">
        <v>5.6988424165853334E-2</v>
      </c>
      <c r="P52" s="19">
        <v>3.5241623438424602E-2</v>
      </c>
      <c r="Q52" s="19">
        <v>8.9350125153297794E-2</v>
      </c>
      <c r="R52" s="19">
        <v>11.372946748797931</v>
      </c>
      <c r="S52" s="19">
        <v>0.14849879208162045</v>
      </c>
      <c r="T52" s="19">
        <v>30.599710275880813</v>
      </c>
      <c r="U52" s="19">
        <v>0.40649143165041601</v>
      </c>
      <c r="V52" s="19">
        <v>1.3863493112254766</v>
      </c>
      <c r="W52" s="19">
        <v>0.30185918554364988</v>
      </c>
      <c r="X52" s="19">
        <v>7.8779917570620883</v>
      </c>
      <c r="Y52" s="19">
        <v>30.586608707002217</v>
      </c>
      <c r="Z52" s="19">
        <v>7.4639897394152221</v>
      </c>
      <c r="AA52" s="19">
        <v>2.1408316713161781</v>
      </c>
      <c r="AB52" s="19">
        <v>4.4442576256810088E-3</v>
      </c>
      <c r="AC52" s="19">
        <v>0.64770305839448405</v>
      </c>
      <c r="AD52" s="19">
        <v>1.1340157297382351E-2</v>
      </c>
      <c r="AE52" s="19">
        <v>0</v>
      </c>
      <c r="AF52" s="19">
        <v>4.3504676490534001E-2</v>
      </c>
      <c r="AG52" s="19">
        <v>2.2152431961809629E-2</v>
      </c>
      <c r="AH52" s="19">
        <v>3.1670778960370249</v>
      </c>
      <c r="AI52" s="19">
        <v>8.3952079896059935E-4</v>
      </c>
      <c r="AJ52" s="19">
        <v>1.143916007036775E-2</v>
      </c>
      <c r="AK52" s="19">
        <v>6.4676247950935014E-3</v>
      </c>
      <c r="AL52" s="19">
        <v>7.0038891276486535E-4</v>
      </c>
      <c r="AM52" s="19">
        <v>0.13829816630287997</v>
      </c>
      <c r="AN52" s="19">
        <v>0.49156802738525213</v>
      </c>
      <c r="AO52" s="19">
        <v>1.1340157297382351E-2</v>
      </c>
    </row>
    <row r="53" spans="1:41" x14ac:dyDescent="0.2">
      <c r="A53" s="3" t="s">
        <v>191</v>
      </c>
      <c r="B53" s="19">
        <v>10.605776771636831</v>
      </c>
      <c r="C53" s="19">
        <v>0.45642564373020811</v>
      </c>
      <c r="D53" s="19">
        <v>6.877896189597929E-2</v>
      </c>
      <c r="E53" s="19">
        <v>21.829465166918659</v>
      </c>
      <c r="F53" s="19">
        <v>1.0497371354010028</v>
      </c>
      <c r="G53" s="19">
        <v>14.876463126356089</v>
      </c>
      <c r="H53" s="19">
        <v>0.34336594047449837</v>
      </c>
      <c r="I53" s="19">
        <v>10.374075947152514</v>
      </c>
      <c r="J53" s="19">
        <v>0.61765812611433846</v>
      </c>
      <c r="K53" s="19">
        <v>23.440729948157017</v>
      </c>
      <c r="L53" s="19">
        <v>218.82476039766084</v>
      </c>
      <c r="M53" s="19">
        <v>2.2946406303804911E-2</v>
      </c>
      <c r="N53" s="19">
        <v>73.746543186733362</v>
      </c>
      <c r="O53" s="19">
        <v>4.0729631670883129E-2</v>
      </c>
      <c r="P53" s="19">
        <v>7.4859277563763512E-3</v>
      </c>
      <c r="Q53" s="19">
        <v>7.9551898766130988E-2</v>
      </c>
      <c r="R53" s="19">
        <v>13.371942833236879</v>
      </c>
      <c r="S53" s="19">
        <v>0.55419184804400956</v>
      </c>
      <c r="T53" s="19">
        <v>39.538527880119446</v>
      </c>
      <c r="U53" s="19">
        <v>0.17798593613132069</v>
      </c>
      <c r="V53" s="19">
        <v>1.3432560453281459</v>
      </c>
      <c r="W53" s="19">
        <v>0.12321701942786729</v>
      </c>
      <c r="X53" s="19">
        <v>3.8829289942758276</v>
      </c>
      <c r="Y53" s="19">
        <v>17.619819468848508</v>
      </c>
      <c r="Z53" s="19">
        <v>3.0631802518122448</v>
      </c>
      <c r="AA53" s="19">
        <v>0.68675136630070766</v>
      </c>
      <c r="AB53" s="19">
        <v>2.2146203085021583E-2</v>
      </c>
      <c r="AC53" s="19">
        <v>0.50829066855513183</v>
      </c>
      <c r="AD53" s="19">
        <v>6.1825293336763027E-5</v>
      </c>
      <c r="AE53" s="19">
        <v>1.6505940322598253E-3</v>
      </c>
      <c r="AF53" s="19">
        <v>7.4258047999753059E-3</v>
      </c>
      <c r="AG53" s="19">
        <v>2.4784958989180934E-3</v>
      </c>
      <c r="AH53" s="19">
        <v>0.97748984610364231</v>
      </c>
      <c r="AI53" s="19">
        <v>8.1905677839421849E-5</v>
      </c>
      <c r="AJ53" s="19">
        <v>6.3430618450729994E-5</v>
      </c>
      <c r="AK53" s="19">
        <v>1.6382797423219182E-3</v>
      </c>
      <c r="AL53" s="19">
        <v>1.8342550630904284E-4</v>
      </c>
      <c r="AM53" s="19">
        <v>1.5516888666957575E-3</v>
      </c>
      <c r="AN53" s="19">
        <v>0.50510125821172736</v>
      </c>
      <c r="AO53" s="19">
        <v>6.1825293336763027E-5</v>
      </c>
    </row>
    <row r="54" spans="1:41" x14ac:dyDescent="0.2">
      <c r="A54" s="2" t="s">
        <v>422</v>
      </c>
      <c r="B54" s="19">
        <v>48.344268150848315</v>
      </c>
      <c r="C54" s="19">
        <v>12.399970272233071</v>
      </c>
      <c r="D54" s="19">
        <v>6.0410458747899548E-2</v>
      </c>
      <c r="E54" s="19">
        <v>113.84091660980668</v>
      </c>
      <c r="F54" s="19">
        <v>1.858421990623274</v>
      </c>
      <c r="G54" s="19">
        <v>25.205307816334127</v>
      </c>
      <c r="H54" s="19">
        <v>0.69713470003426903</v>
      </c>
      <c r="I54" s="19">
        <v>14.368751712835685</v>
      </c>
      <c r="J54" s="19">
        <v>0.67113524111421419</v>
      </c>
      <c r="K54" s="19">
        <v>54.282652601360105</v>
      </c>
      <c r="L54" s="19">
        <v>205.41573971933985</v>
      </c>
      <c r="M54" s="19">
        <v>7.9417914878164811E-2</v>
      </c>
      <c r="N54" s="19">
        <v>109.56672157103785</v>
      </c>
      <c r="O54" s="19">
        <v>6.5079385140078314E-2</v>
      </c>
      <c r="P54" s="19">
        <v>5.5895934091810637E-2</v>
      </c>
      <c r="Q54" s="19">
        <v>0.12487545011625353</v>
      </c>
      <c r="R54" s="19">
        <v>16.918720305899168</v>
      </c>
      <c r="S54" s="19">
        <v>0.93718188225180565</v>
      </c>
      <c r="T54" s="19">
        <v>134.90562740539013</v>
      </c>
      <c r="U54" s="19">
        <v>0.36053892954550265</v>
      </c>
      <c r="V54" s="19">
        <v>26.643070429310139</v>
      </c>
      <c r="W54" s="19">
        <v>3.135758463036161</v>
      </c>
      <c r="X54" s="19">
        <v>9.7883779491328031</v>
      </c>
      <c r="Y54" s="19">
        <v>39.827271738910589</v>
      </c>
      <c r="Z54" s="19">
        <v>68.830955417115419</v>
      </c>
      <c r="AA54" s="19">
        <v>14.285281853007609</v>
      </c>
      <c r="AB54" s="19">
        <v>9.2685547195162241E-2</v>
      </c>
      <c r="AC54" s="19">
        <v>0.6534977458110337</v>
      </c>
      <c r="AD54" s="19">
        <v>4.6926292157305838E-3</v>
      </c>
      <c r="AE54" s="19">
        <v>6.833905109583574E-2</v>
      </c>
      <c r="AF54" s="19">
        <v>6.5127047017082815E-2</v>
      </c>
      <c r="AG54" s="19">
        <v>5.9045441184055303</v>
      </c>
      <c r="AH54" s="19">
        <v>24.600814156592151</v>
      </c>
      <c r="AI54" s="19">
        <v>1.5957829246212894E-2</v>
      </c>
      <c r="AJ54" s="19">
        <v>1.5113336575461451E-2</v>
      </c>
      <c r="AK54" s="19">
        <v>9.9024092108036213E-2</v>
      </c>
      <c r="AL54" s="19">
        <v>1.2324746380940584E-3</v>
      </c>
      <c r="AM54" s="19">
        <v>7.4125381943698568E-2</v>
      </c>
      <c r="AN54" s="19">
        <v>0.46523934532875727</v>
      </c>
      <c r="AO54" s="19">
        <v>4.6926292157305838E-3</v>
      </c>
    </row>
    <row r="55" spans="1:41" x14ac:dyDescent="0.2">
      <c r="A55" s="3" t="s">
        <v>192</v>
      </c>
      <c r="B55" s="19">
        <v>18.695810836416928</v>
      </c>
      <c r="C55" s="19">
        <v>0.49748642568851836</v>
      </c>
      <c r="D55" s="19">
        <v>8.1037694377013428E-2</v>
      </c>
      <c r="E55" s="19">
        <v>53.389180282611811</v>
      </c>
      <c r="F55" s="19">
        <v>2.339434863307615</v>
      </c>
      <c r="G55" s="19">
        <v>22.882998658846134</v>
      </c>
      <c r="H55" s="19">
        <v>0.76051009331530128</v>
      </c>
      <c r="I55" s="19">
        <v>14.580856272646587</v>
      </c>
      <c r="J55" s="19">
        <v>0.85375882071340925</v>
      </c>
      <c r="K55" s="19">
        <v>42.800299497849366</v>
      </c>
      <c r="L55" s="19">
        <v>195.12592653446964</v>
      </c>
      <c r="M55" s="19">
        <v>6.0785581969031069E-2</v>
      </c>
      <c r="N55" s="19">
        <v>142.74048342417052</v>
      </c>
      <c r="O55" s="19">
        <v>8.5663871379007467E-2</v>
      </c>
      <c r="P55" s="19">
        <v>1.1850184385225868E-2</v>
      </c>
      <c r="Q55" s="19">
        <v>0.10815952472546764</v>
      </c>
      <c r="R55" s="19">
        <v>12.208917887784679</v>
      </c>
      <c r="S55" s="19">
        <v>0.3928478869594364</v>
      </c>
      <c r="T55" s="19">
        <v>134.27850117609267</v>
      </c>
      <c r="U55" s="19">
        <v>0.45208825562411442</v>
      </c>
      <c r="V55" s="19">
        <v>1.183279636193838</v>
      </c>
      <c r="W55" s="19">
        <v>0.22090377674630918</v>
      </c>
      <c r="X55" s="19">
        <v>9.5526955834665674</v>
      </c>
      <c r="Y55" s="19">
        <v>39.419156903784014</v>
      </c>
      <c r="Z55" s="19">
        <v>7.8385332361077351</v>
      </c>
      <c r="AA55" s="19">
        <v>2.393286446817021</v>
      </c>
      <c r="AB55" s="19">
        <v>9.2369530001258859E-2</v>
      </c>
      <c r="AC55" s="19">
        <v>0.58324072844405972</v>
      </c>
      <c r="AD55" s="19">
        <v>0</v>
      </c>
      <c r="AE55" s="19">
        <v>0</v>
      </c>
      <c r="AF55" s="19">
        <v>1.8519120960808988E-2</v>
      </c>
      <c r="AG55" s="19">
        <v>0.39939007791591191</v>
      </c>
      <c r="AH55" s="19">
        <v>1.9178049479875645</v>
      </c>
      <c r="AI55" s="19">
        <v>0</v>
      </c>
      <c r="AJ55" s="19">
        <v>3.0990604974663893E-2</v>
      </c>
      <c r="AK55" s="19">
        <v>0.11126989353424714</v>
      </c>
      <c r="AL55" s="19">
        <v>0</v>
      </c>
      <c r="AM55" s="19">
        <v>0.2707279442828105</v>
      </c>
      <c r="AN55" s="19">
        <v>0.17005630704145019</v>
      </c>
      <c r="AO55" s="19">
        <v>0</v>
      </c>
    </row>
    <row r="56" spans="1:41" x14ac:dyDescent="0.2">
      <c r="A56" s="2" t="s">
        <v>49</v>
      </c>
      <c r="B56" s="19">
        <v>27.014098678085386</v>
      </c>
      <c r="C56" s="19">
        <v>11.884901644414597</v>
      </c>
      <c r="D56" s="19">
        <v>9.1238752448556157E-2</v>
      </c>
      <c r="E56" s="19">
        <v>224.40829726130062</v>
      </c>
      <c r="F56" s="19">
        <v>0.82740904077701793</v>
      </c>
      <c r="G56" s="19">
        <v>8.217279483738702</v>
      </c>
      <c r="H56" s="19">
        <v>0.57139585210316601</v>
      </c>
      <c r="I56" s="19">
        <v>11.017749740588378</v>
      </c>
      <c r="J56" s="19">
        <v>0.6248414080645438</v>
      </c>
      <c r="K56" s="19">
        <v>34.006903013067834</v>
      </c>
      <c r="L56" s="19">
        <v>160.07826055713522</v>
      </c>
      <c r="M56" s="19">
        <v>0.11253740650576823</v>
      </c>
      <c r="N56" s="19">
        <v>742.72672633984382</v>
      </c>
      <c r="O56" s="19">
        <v>4.2394688414517157E-2</v>
      </c>
      <c r="P56" s="19">
        <v>7.6283409011052156E-2</v>
      </c>
      <c r="Q56" s="19">
        <v>9.6510839590653888E-2</v>
      </c>
      <c r="R56" s="19">
        <v>6.8435184390823585</v>
      </c>
      <c r="S56" s="19">
        <v>2.0971199576283963</v>
      </c>
      <c r="T56" s="19">
        <v>93.141082852787164</v>
      </c>
      <c r="U56" s="19">
        <v>0.26876341660036351</v>
      </c>
      <c r="V56" s="19">
        <v>67.124952906650577</v>
      </c>
      <c r="W56" s="19">
        <v>8.7362266712112913</v>
      </c>
      <c r="X56" s="19">
        <v>6.852668081594655</v>
      </c>
      <c r="Y56" s="19">
        <v>39.807852586378004</v>
      </c>
      <c r="Z56" s="19">
        <v>184.66614218918198</v>
      </c>
      <c r="AA56" s="19">
        <v>40.476689911673986</v>
      </c>
      <c r="AB56" s="19">
        <v>8.8348370311906552E-2</v>
      </c>
      <c r="AC56" s="19">
        <v>0.25548493123530591</v>
      </c>
      <c r="AD56" s="19">
        <v>1.1785293446946706E-3</v>
      </c>
      <c r="AE56" s="19">
        <v>3.2528021982976829E-2</v>
      </c>
      <c r="AF56" s="19">
        <v>4.1272493718555577E-2</v>
      </c>
      <c r="AG56" s="19">
        <v>15.223486616310199</v>
      </c>
      <c r="AH56" s="19">
        <v>52.477852643178203</v>
      </c>
      <c r="AI56" s="19">
        <v>3.6135405972912246E-7</v>
      </c>
      <c r="AJ56" s="19">
        <v>3.7322295406122774E-4</v>
      </c>
      <c r="AK56" s="19">
        <v>0</v>
      </c>
      <c r="AL56" s="19">
        <v>0</v>
      </c>
      <c r="AM56" s="19">
        <v>0</v>
      </c>
      <c r="AN56" s="19">
        <v>0.25514165065334454</v>
      </c>
      <c r="AO56" s="19">
        <v>1.1785293446946706E-3</v>
      </c>
    </row>
    <row r="57" spans="1:41" x14ac:dyDescent="0.2">
      <c r="A57" s="2" t="s">
        <v>50</v>
      </c>
      <c r="B57" s="19">
        <v>1.3482483747907472</v>
      </c>
      <c r="C57" s="19">
        <v>2.5599825809714115E-2</v>
      </c>
      <c r="D57" s="19">
        <v>5.2689862262241911E-3</v>
      </c>
      <c r="E57" s="19">
        <v>6.9032994829921623</v>
      </c>
      <c r="F57" s="19">
        <v>1.7919481393889227E-3</v>
      </c>
      <c r="G57" s="19">
        <v>2.5679208896825498</v>
      </c>
      <c r="H57" s="19">
        <v>1.8824994790036999E-2</v>
      </c>
      <c r="I57" s="19">
        <v>2.5715969022205982</v>
      </c>
      <c r="J57" s="19">
        <v>3.2983362697363024E-2</v>
      </c>
      <c r="K57" s="19">
        <v>2.4356620178404049</v>
      </c>
      <c r="L57" s="19">
        <v>40.22111352713987</v>
      </c>
      <c r="M57" s="19">
        <v>2.9507406021107404E-2</v>
      </c>
      <c r="N57" s="19">
        <v>2.0724226535253907</v>
      </c>
      <c r="O57" s="19">
        <v>4.8327729885648378E-4</v>
      </c>
      <c r="P57" s="19">
        <v>9.9601869722982313E-4</v>
      </c>
      <c r="Q57" s="19">
        <v>8.0769575381761292E-4</v>
      </c>
      <c r="R57" s="19">
        <v>9.6690805297747337E-4</v>
      </c>
      <c r="S57" s="19">
        <v>1.0232468789889329E-2</v>
      </c>
      <c r="T57" s="19">
        <v>8.8077631647453705E-2</v>
      </c>
      <c r="U57" s="19">
        <v>1.4733675397822764E-2</v>
      </c>
      <c r="V57" s="19">
        <v>7.8048406504508862E-3</v>
      </c>
      <c r="W57" s="19">
        <v>1.7017244184760125E-3</v>
      </c>
      <c r="X57" s="19">
        <v>0.36634660805877933</v>
      </c>
      <c r="Y57" s="19">
        <v>4.9150498711167359</v>
      </c>
      <c r="Z57" s="19">
        <v>3.4807156465200695</v>
      </c>
      <c r="AA57" s="19">
        <v>6.0627630006356036E-2</v>
      </c>
      <c r="AB57" s="19">
        <v>5.2130915322226969E-4</v>
      </c>
      <c r="AC57" s="19">
        <v>0</v>
      </c>
      <c r="AD57" s="19">
        <v>0</v>
      </c>
      <c r="AE57" s="19">
        <v>1.1413857611952986E-3</v>
      </c>
      <c r="AF57" s="19">
        <v>0</v>
      </c>
      <c r="AG57" s="19">
        <v>1.5468960131906188E-4</v>
      </c>
      <c r="AH57" s="19">
        <v>4.0851868911206255</v>
      </c>
      <c r="AI57" s="19">
        <v>2.206521686096068E-4</v>
      </c>
      <c r="AJ57" s="19">
        <v>0</v>
      </c>
      <c r="AK57" s="19">
        <v>0</v>
      </c>
      <c r="AL57" s="19">
        <v>0</v>
      </c>
      <c r="AM57" s="19">
        <v>0</v>
      </c>
      <c r="AN57" s="19">
        <v>0</v>
      </c>
      <c r="AO57" s="19">
        <v>0</v>
      </c>
    </row>
    <row r="58" spans="1:41" x14ac:dyDescent="0.2">
      <c r="A58" s="2" t="s">
        <v>51</v>
      </c>
      <c r="B58" s="19">
        <v>4.9007167710659285</v>
      </c>
      <c r="C58" s="19">
        <v>9.6959935829096754E-3</v>
      </c>
      <c r="D58" s="19">
        <v>1.1921564885804089E-2</v>
      </c>
      <c r="E58" s="19">
        <v>41.727690338584999</v>
      </c>
      <c r="F58" s="19">
        <v>1.1852409838456745E-2</v>
      </c>
      <c r="G58" s="19">
        <v>0.42398569370142497</v>
      </c>
      <c r="H58" s="19">
        <v>5.2787154854439751E-2</v>
      </c>
      <c r="I58" s="19">
        <v>1.273316267001501</v>
      </c>
      <c r="J58" s="19">
        <v>1.6969995052100475E-2</v>
      </c>
      <c r="K58" s="19">
        <v>6.6892693949048203</v>
      </c>
      <c r="L58" s="19">
        <v>5.7352261755884042</v>
      </c>
      <c r="M58" s="19">
        <v>3.2067349931878928E-3</v>
      </c>
      <c r="N58" s="19">
        <v>8.2576184792973457</v>
      </c>
      <c r="O58" s="19">
        <v>4.4223189354813475E-3</v>
      </c>
      <c r="P58" s="19">
        <v>1.646499742964131E-3</v>
      </c>
      <c r="Q58" s="19">
        <v>3.4134732250440262E-3</v>
      </c>
      <c r="R58" s="19">
        <v>3.4793303390639307</v>
      </c>
      <c r="S58" s="19">
        <v>5.4393124338775042E-3</v>
      </c>
      <c r="T58" s="19">
        <v>0.82175083467239385</v>
      </c>
      <c r="U58" s="19">
        <v>2.4345419596066994E-2</v>
      </c>
      <c r="V58" s="19">
        <v>1.0259463247192549E-2</v>
      </c>
      <c r="W58" s="19">
        <v>4.4804848456723671E-3</v>
      </c>
      <c r="X58" s="19">
        <v>0.14282304735710033</v>
      </c>
      <c r="Y58" s="19">
        <v>42.806989974520377</v>
      </c>
      <c r="Z58" s="19">
        <v>7.3414569010082684E-2</v>
      </c>
      <c r="AA58" s="19">
        <v>2.927304294672747E-2</v>
      </c>
      <c r="AB58" s="19">
        <v>3.8766932884588205E-4</v>
      </c>
      <c r="AC58" s="19">
        <v>2.3723444375659337E-5</v>
      </c>
      <c r="AD58" s="19">
        <v>1.3653729076471017E-2</v>
      </c>
      <c r="AE58" s="19">
        <v>1.0727981075682764E-4</v>
      </c>
      <c r="AF58" s="19">
        <v>9.7135334552813735E-4</v>
      </c>
      <c r="AG58" s="19">
        <v>6.126074450742827E-4</v>
      </c>
      <c r="AH58" s="19">
        <v>39.334288641437091</v>
      </c>
      <c r="AI58" s="19">
        <v>0</v>
      </c>
      <c r="AJ58" s="19">
        <v>0</v>
      </c>
      <c r="AK58" s="19">
        <v>2.3723444375659337E-5</v>
      </c>
      <c r="AL58" s="19">
        <v>0</v>
      </c>
      <c r="AM58" s="19">
        <v>0</v>
      </c>
      <c r="AN58" s="19">
        <v>0</v>
      </c>
      <c r="AO58" s="19">
        <v>1.3653729076471017E-2</v>
      </c>
    </row>
    <row r="59" spans="1:41" x14ac:dyDescent="0.2">
      <c r="A59" s="3" t="s">
        <v>193</v>
      </c>
      <c r="B59" s="19">
        <v>3.6398993989366488</v>
      </c>
      <c r="C59" s="19">
        <v>0</v>
      </c>
      <c r="D59" s="19">
        <v>1.3055272618789497E-2</v>
      </c>
      <c r="E59" s="19">
        <v>5.8772145816685342</v>
      </c>
      <c r="F59" s="19">
        <v>6.3663180942272234E-3</v>
      </c>
      <c r="G59" s="19">
        <v>0.26971955408225551</v>
      </c>
      <c r="H59" s="19">
        <v>3.5303903598239025E-2</v>
      </c>
      <c r="I59" s="19">
        <v>1.2693355334363063</v>
      </c>
      <c r="J59" s="19">
        <v>2.3264727683247395E-2</v>
      </c>
      <c r="K59" s="19">
        <v>8.6791580720958361</v>
      </c>
      <c r="L59" s="19">
        <v>7.858104824398743</v>
      </c>
      <c r="M59" s="19">
        <v>1.4965298362181943E-2</v>
      </c>
      <c r="N59" s="19">
        <v>10.453074775508968</v>
      </c>
      <c r="O59" s="19">
        <v>8.519349356405817E-3</v>
      </c>
      <c r="P59" s="19">
        <v>3.6336997836219567E-4</v>
      </c>
      <c r="Q59" s="19">
        <v>1.8558438449215937E-3</v>
      </c>
      <c r="R59" s="19">
        <v>2.0799347452449992</v>
      </c>
      <c r="S59" s="19">
        <v>1.6425794590771894E-2</v>
      </c>
      <c r="T59" s="19">
        <v>3.6997116111032097E-2</v>
      </c>
      <c r="U59" s="19">
        <v>1.9719483810934812E-2</v>
      </c>
      <c r="V59" s="19">
        <v>8.6667125882234197E-3</v>
      </c>
      <c r="W59" s="19">
        <v>1.7513249592044564E-3</v>
      </c>
      <c r="X59" s="19">
        <v>0.34197052135551476</v>
      </c>
      <c r="Y59" s="19">
        <v>5.3885753894750952</v>
      </c>
      <c r="Z59" s="19">
        <v>2.1136772029799557E-2</v>
      </c>
      <c r="AA59" s="19">
        <v>3.5277314738463711E-3</v>
      </c>
      <c r="AB59" s="19">
        <v>6.4229704970199784E-4</v>
      </c>
      <c r="AC59" s="19">
        <v>0</v>
      </c>
      <c r="AD59" s="19">
        <v>1.1113027727891906E-2</v>
      </c>
      <c r="AE59" s="19">
        <v>0</v>
      </c>
      <c r="AF59" s="19">
        <v>0</v>
      </c>
      <c r="AG59" s="19">
        <v>0</v>
      </c>
      <c r="AH59" s="19">
        <v>2.6603138046166088</v>
      </c>
      <c r="AI59" s="19">
        <v>0</v>
      </c>
      <c r="AJ59" s="19">
        <v>0</v>
      </c>
      <c r="AK59" s="19">
        <v>0</v>
      </c>
      <c r="AL59" s="19">
        <v>0</v>
      </c>
      <c r="AM59" s="19">
        <v>0</v>
      </c>
      <c r="AN59" s="19">
        <v>0</v>
      </c>
      <c r="AO59" s="19">
        <v>1.1113027727891906E-2</v>
      </c>
    </row>
    <row r="60" spans="1:41" x14ac:dyDescent="0.2">
      <c r="A60" s="2" t="s">
        <v>326</v>
      </c>
      <c r="B60" s="19">
        <v>30.771180435004453</v>
      </c>
      <c r="C60" s="19">
        <v>2.333898825836108</v>
      </c>
      <c r="D60" s="19">
        <v>0.11333892789282599</v>
      </c>
      <c r="E60" s="19">
        <v>318.59848374279414</v>
      </c>
      <c r="F60" s="19">
        <v>0.94526238566355858</v>
      </c>
      <c r="G60" s="19">
        <v>6.2918200905327621</v>
      </c>
      <c r="H60" s="19">
        <v>0.5009696629528112</v>
      </c>
      <c r="I60" s="19">
        <v>17.097471527898374</v>
      </c>
      <c r="J60" s="19">
        <v>0.4142173792792076</v>
      </c>
      <c r="K60" s="19">
        <v>45.682613473894278</v>
      </c>
      <c r="L60" s="19">
        <v>116.07503394618479</v>
      </c>
      <c r="M60" s="19">
        <v>5.9613485433428481E-2</v>
      </c>
      <c r="N60" s="19">
        <v>69.704205238897373</v>
      </c>
      <c r="O60" s="19">
        <v>2.5964364137641544E-2</v>
      </c>
      <c r="P60" s="19">
        <v>7.4121697941855511E-2</v>
      </c>
      <c r="Q60" s="19">
        <v>2.6674455517196109E-2</v>
      </c>
      <c r="R60" s="19">
        <v>3.8191474116491055</v>
      </c>
      <c r="S60" s="19">
        <v>0.41948165651443919</v>
      </c>
      <c r="T60" s="19">
        <v>6.6688616525069762</v>
      </c>
      <c r="U60" s="19">
        <v>0.46511760438769328</v>
      </c>
      <c r="V60" s="19">
        <v>4.6929997233681302</v>
      </c>
      <c r="W60" s="19">
        <v>0.18159655286356868</v>
      </c>
      <c r="X60" s="19">
        <v>7.5823307578776422</v>
      </c>
      <c r="Y60" s="19">
        <v>266.64878127301108</v>
      </c>
      <c r="Z60" s="19">
        <v>55.774726131797379</v>
      </c>
      <c r="AA60" s="19">
        <v>25.475131135949077</v>
      </c>
      <c r="AB60" s="19">
        <v>0.14223024769084749</v>
      </c>
      <c r="AC60" s="19">
        <v>5.8104408235305096E-5</v>
      </c>
      <c r="AD60" s="19">
        <v>3.5968551157765337E-2</v>
      </c>
      <c r="AE60" s="19">
        <v>5.3923031483673396E-2</v>
      </c>
      <c r="AF60" s="19">
        <v>0.15915765370561408</v>
      </c>
      <c r="AG60" s="19">
        <v>3.1825002912155975</v>
      </c>
      <c r="AH60" s="19">
        <v>225.31756898746113</v>
      </c>
      <c r="AI60" s="19">
        <v>5.7847880206849554E-3</v>
      </c>
      <c r="AJ60" s="19">
        <v>0</v>
      </c>
      <c r="AK60" s="19">
        <v>1.2596060526534671E-5</v>
      </c>
      <c r="AL60" s="19">
        <v>0</v>
      </c>
      <c r="AM60" s="19">
        <v>0</v>
      </c>
      <c r="AN60" s="19">
        <v>4.5508347708770426E-5</v>
      </c>
      <c r="AO60" s="19">
        <v>3.5968551157765337E-2</v>
      </c>
    </row>
  </sheetData>
  <phoneticPr fontId="1" type="noConversion"/>
  <pageMargins left="0.75" right="0.75" top="1" bottom="1" header="0.5" footer="0.5"/>
  <pageSetup paperSize="0" orientation="portrait" horizontalDpi="4294967292" verticalDpi="429496729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3"/>
  <sheetViews>
    <sheetView workbookViewId="0">
      <selection activeCell="D9" sqref="D9"/>
    </sheetView>
  </sheetViews>
  <sheetFormatPr defaultColWidth="8.85546875" defaultRowHeight="12.75" x14ac:dyDescent="0.2"/>
  <cols>
    <col min="1" max="1" width="21" customWidth="1"/>
    <col min="2" max="2" width="21.140625" customWidth="1"/>
    <col min="3" max="3" width="15.28515625" customWidth="1"/>
    <col min="4" max="4" width="14.42578125" customWidth="1"/>
  </cols>
  <sheetData>
    <row r="1" spans="1:4" ht="15.75" x14ac:dyDescent="0.25">
      <c r="A1" s="10" t="s">
        <v>652</v>
      </c>
      <c r="B1" s="10"/>
    </row>
    <row r="2" spans="1:4" x14ac:dyDescent="0.2">
      <c r="A2" t="s">
        <v>18</v>
      </c>
    </row>
    <row r="4" spans="1:4" x14ac:dyDescent="0.2">
      <c r="A4" s="99" t="s">
        <v>219</v>
      </c>
      <c r="B4" s="56" t="s">
        <v>222</v>
      </c>
      <c r="C4" s="56" t="s">
        <v>223</v>
      </c>
      <c r="D4" t="s">
        <v>653</v>
      </c>
    </row>
    <row r="5" spans="1:4" x14ac:dyDescent="0.2">
      <c r="A5" t="s">
        <v>397</v>
      </c>
      <c r="B5" s="52">
        <v>22</v>
      </c>
      <c r="C5" s="52">
        <f t="shared" ref="C5:C21" si="0">B5/7</f>
        <v>3.1428571428571428</v>
      </c>
      <c r="D5" s="324">
        <f>B5/'cost constraint (old)'!B5</f>
        <v>1.3333333333333333</v>
      </c>
    </row>
    <row r="6" spans="1:4" x14ac:dyDescent="0.2">
      <c r="A6" t="s">
        <v>401</v>
      </c>
      <c r="B6" s="52">
        <v>24</v>
      </c>
      <c r="C6" s="52">
        <f t="shared" si="0"/>
        <v>3.4285714285714284</v>
      </c>
      <c r="D6" s="324">
        <f>B6/'cost constraint (old)'!B6</f>
        <v>1.3973799126637556</v>
      </c>
    </row>
    <row r="7" spans="1:4" x14ac:dyDescent="0.2">
      <c r="A7" t="s">
        <v>398</v>
      </c>
      <c r="B7" s="52">
        <v>25.3</v>
      </c>
      <c r="C7" s="52">
        <f t="shared" si="0"/>
        <v>3.6142857142857143</v>
      </c>
      <c r="D7" s="324">
        <f>B7/'cost constraint (old)'!B7</f>
        <v>1.4134078212290504</v>
      </c>
    </row>
    <row r="8" spans="1:4" x14ac:dyDescent="0.2">
      <c r="A8" t="s">
        <v>399</v>
      </c>
      <c r="B8" s="52">
        <v>32.1</v>
      </c>
      <c r="C8" s="52">
        <f t="shared" si="0"/>
        <v>4.5857142857142863</v>
      </c>
      <c r="D8" s="324">
        <f>B8/'cost constraint (old)'!B8</f>
        <v>1.4426966292134833</v>
      </c>
    </row>
    <row r="9" spans="1:4" x14ac:dyDescent="0.2">
      <c r="A9" t="s">
        <v>405</v>
      </c>
      <c r="B9" s="52">
        <v>36.200000000000003</v>
      </c>
      <c r="C9" s="52">
        <f t="shared" si="0"/>
        <v>5.1714285714285717</v>
      </c>
      <c r="D9" s="324">
        <f>B9/'cost constraint (old)'!B9</f>
        <v>1.3738140417457305</v>
      </c>
    </row>
    <row r="10" spans="1:4" x14ac:dyDescent="0.2">
      <c r="A10" t="s">
        <v>402</v>
      </c>
      <c r="B10" s="52">
        <v>39</v>
      </c>
      <c r="C10" s="52">
        <f t="shared" si="0"/>
        <v>5.5714285714285712</v>
      </c>
      <c r="D10" s="324">
        <f>B10/'cost constraint (old)'!B10</f>
        <v>1.4285714285714286</v>
      </c>
    </row>
    <row r="11" spans="1:4" x14ac:dyDescent="0.2">
      <c r="A11" t="s">
        <v>257</v>
      </c>
      <c r="B11" s="52">
        <v>40.200000000000003</v>
      </c>
      <c r="C11" s="52">
        <f t="shared" si="0"/>
        <v>5.7428571428571429</v>
      </c>
      <c r="D11" s="324">
        <f>B11/'cost constraint (old)'!B11</f>
        <v>1.4346895074946469</v>
      </c>
    </row>
    <row r="12" spans="1:4" x14ac:dyDescent="0.2">
      <c r="A12" t="s">
        <v>258</v>
      </c>
      <c r="B12" s="52"/>
      <c r="C12" s="52"/>
      <c r="D12" s="324"/>
    </row>
    <row r="13" spans="1:4" x14ac:dyDescent="0.2">
      <c r="A13" t="s">
        <v>654</v>
      </c>
      <c r="B13" s="52">
        <v>43.3</v>
      </c>
      <c r="C13" s="52">
        <f t="shared" si="0"/>
        <v>6.1857142857142851</v>
      </c>
      <c r="D13" s="324">
        <f>B13/'cost constraint (old)'!B13</f>
        <v>1.4385382059800662</v>
      </c>
    </row>
    <row r="14" spans="1:4" x14ac:dyDescent="0.2">
      <c r="A14" t="s">
        <v>260</v>
      </c>
      <c r="B14" s="52">
        <v>39.5</v>
      </c>
      <c r="C14" s="52">
        <f t="shared" si="0"/>
        <v>5.6428571428571432</v>
      </c>
      <c r="D14" s="324">
        <f>B14/'cost constraint (old)'!B14</f>
        <v>1.4522058823529411</v>
      </c>
    </row>
    <row r="15" spans="1:4" x14ac:dyDescent="0.2">
      <c r="A15" t="s">
        <v>110</v>
      </c>
      <c r="B15" s="52">
        <v>39.799999999999997</v>
      </c>
      <c r="C15" s="52">
        <f t="shared" si="0"/>
        <v>5.6857142857142851</v>
      </c>
      <c r="D15" s="324">
        <f>B15/'cost constraint (old)'!B15</f>
        <v>1.463235294117647</v>
      </c>
    </row>
    <row r="16" spans="1:4" x14ac:dyDescent="0.2">
      <c r="A16" t="s">
        <v>261</v>
      </c>
      <c r="B16" s="52">
        <v>39.1</v>
      </c>
      <c r="C16" s="52">
        <f t="shared" si="0"/>
        <v>5.5857142857142863</v>
      </c>
      <c r="D16" s="324">
        <f>B16/'cost constraint (old)'!B16</f>
        <v>1.4348623853211009</v>
      </c>
    </row>
    <row r="17" spans="1:4" x14ac:dyDescent="0.2">
      <c r="A17" t="s">
        <v>196</v>
      </c>
      <c r="B17" s="52">
        <v>38.4</v>
      </c>
      <c r="C17" s="52">
        <f t="shared" si="0"/>
        <v>5.4857142857142858</v>
      </c>
      <c r="D17" s="324">
        <f>B17/'cost constraint (old)'!B17</f>
        <v>1.4091743119266054</v>
      </c>
    </row>
    <row r="18" spans="1:4" x14ac:dyDescent="0.2">
      <c r="A18" t="s">
        <v>262</v>
      </c>
      <c r="B18" s="52"/>
      <c r="C18" s="52"/>
      <c r="D18" s="324"/>
    </row>
    <row r="19" spans="1:4" x14ac:dyDescent="0.2">
      <c r="A19" s="325" t="s">
        <v>655</v>
      </c>
      <c r="B19" s="326">
        <v>38.5</v>
      </c>
      <c r="C19" s="326">
        <f t="shared" si="0"/>
        <v>5.5</v>
      </c>
      <c r="D19" s="327">
        <f>B19/'cost constraint (old)'!B19</f>
        <v>1.4128440366972477</v>
      </c>
    </row>
    <row r="20" spans="1:4" x14ac:dyDescent="0.2">
      <c r="A20" t="s">
        <v>231</v>
      </c>
      <c r="B20" s="52">
        <v>38.1</v>
      </c>
      <c r="C20" s="52">
        <f t="shared" si="0"/>
        <v>5.4428571428571431</v>
      </c>
      <c r="D20" s="324">
        <f>B20/'cost constraint (old)'!B20</f>
        <v>1.4296435272045029</v>
      </c>
    </row>
    <row r="21" spans="1:4" x14ac:dyDescent="0.2">
      <c r="A21" t="s">
        <v>109</v>
      </c>
      <c r="B21" s="52">
        <v>36.9</v>
      </c>
      <c r="C21" s="52">
        <f t="shared" si="0"/>
        <v>5.2714285714285714</v>
      </c>
      <c r="D21" s="324">
        <f>B21/'cost constraint (old)'!B21</f>
        <v>1.3846153846153846</v>
      </c>
    </row>
    <row r="23" spans="1:4" ht="29.25" customHeight="1" x14ac:dyDescent="0.2">
      <c r="A23" s="486" t="s">
        <v>656</v>
      </c>
      <c r="B23" s="486"/>
      <c r="C23" s="486"/>
      <c r="D23" s="486"/>
    </row>
  </sheetData>
  <mergeCells count="1">
    <mergeCell ref="A23:D23"/>
  </mergeCells>
  <phoneticPr fontId="3" type="noConversion"/>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2" sqref="A2"/>
    </sheetView>
  </sheetViews>
  <sheetFormatPr defaultColWidth="8.85546875" defaultRowHeight="12.75" x14ac:dyDescent="0.2"/>
  <cols>
    <col min="1" max="1" width="21" customWidth="1"/>
    <col min="2" max="2" width="21.140625" customWidth="1"/>
    <col min="3" max="3" width="15.28515625" customWidth="1"/>
    <col min="4" max="4" width="14.42578125" customWidth="1"/>
  </cols>
  <sheetData>
    <row r="1" spans="1:3" ht="15.75" x14ac:dyDescent="0.25">
      <c r="A1" s="10" t="s">
        <v>651</v>
      </c>
      <c r="B1" s="10"/>
    </row>
    <row r="2" spans="1:3" x14ac:dyDescent="0.2">
      <c r="A2" t="s">
        <v>18</v>
      </c>
    </row>
    <row r="4" spans="1:3" x14ac:dyDescent="0.2">
      <c r="A4" s="99" t="s">
        <v>219</v>
      </c>
      <c r="B4" s="56" t="s">
        <v>222</v>
      </c>
      <c r="C4" s="56" t="s">
        <v>223</v>
      </c>
    </row>
    <row r="5" spans="1:3" x14ac:dyDescent="0.2">
      <c r="A5" t="s">
        <v>397</v>
      </c>
      <c r="B5" s="52">
        <v>16.5</v>
      </c>
      <c r="C5" s="52">
        <f t="shared" ref="C5:C21" si="0">B5/7</f>
        <v>2.3571428571428572</v>
      </c>
    </row>
    <row r="6" spans="1:3" x14ac:dyDescent="0.2">
      <c r="A6" t="s">
        <v>401</v>
      </c>
      <c r="B6" s="52">
        <f>(16.45+17.9)/2</f>
        <v>17.174999999999997</v>
      </c>
      <c r="C6" s="52">
        <f t="shared" si="0"/>
        <v>2.4535714285714283</v>
      </c>
    </row>
    <row r="7" spans="1:3" x14ac:dyDescent="0.2">
      <c r="A7" t="s">
        <v>398</v>
      </c>
      <c r="B7" s="52">
        <v>17.899999999999999</v>
      </c>
      <c r="C7" s="52">
        <f t="shared" si="0"/>
        <v>2.5571428571428569</v>
      </c>
    </row>
    <row r="8" spans="1:3" x14ac:dyDescent="0.2">
      <c r="A8" t="s">
        <v>399</v>
      </c>
      <c r="B8" s="52">
        <v>22.25</v>
      </c>
      <c r="C8" s="52">
        <f t="shared" si="0"/>
        <v>3.1785714285714284</v>
      </c>
    </row>
    <row r="9" spans="1:3" x14ac:dyDescent="0.2">
      <c r="A9" t="s">
        <v>405</v>
      </c>
      <c r="B9" s="52">
        <v>26.35</v>
      </c>
      <c r="C9" s="52">
        <f t="shared" si="0"/>
        <v>3.7642857142857147</v>
      </c>
    </row>
    <row r="10" spans="1:3" x14ac:dyDescent="0.2">
      <c r="A10" t="s">
        <v>402</v>
      </c>
      <c r="B10" s="52">
        <v>27.3</v>
      </c>
      <c r="C10" s="52">
        <f t="shared" si="0"/>
        <v>3.9</v>
      </c>
    </row>
    <row r="11" spans="1:3" x14ac:dyDescent="0.2">
      <c r="A11" t="s">
        <v>257</v>
      </c>
      <c r="B11" s="52">
        <f>(27.3+4*28.2)/5</f>
        <v>28.02</v>
      </c>
      <c r="C11" s="52">
        <f t="shared" si="0"/>
        <v>4.0028571428571427</v>
      </c>
    </row>
    <row r="12" spans="1:3" x14ac:dyDescent="0.2">
      <c r="A12" t="s">
        <v>258</v>
      </c>
      <c r="B12" s="52">
        <v>28.2</v>
      </c>
      <c r="C12" s="52">
        <f t="shared" si="0"/>
        <v>4.0285714285714285</v>
      </c>
    </row>
    <row r="13" spans="1:3" x14ac:dyDescent="0.2">
      <c r="A13" t="s">
        <v>259</v>
      </c>
      <c r="B13" s="52">
        <v>30.1</v>
      </c>
      <c r="C13" s="52">
        <f t="shared" si="0"/>
        <v>4.3</v>
      </c>
    </row>
    <row r="14" spans="1:3" x14ac:dyDescent="0.2">
      <c r="A14" t="s">
        <v>260</v>
      </c>
      <c r="B14" s="52">
        <v>27.2</v>
      </c>
      <c r="C14" s="52">
        <f t="shared" si="0"/>
        <v>3.8857142857142857</v>
      </c>
    </row>
    <row r="15" spans="1:3" x14ac:dyDescent="0.2">
      <c r="A15" t="s">
        <v>110</v>
      </c>
      <c r="B15" s="52">
        <v>27.2</v>
      </c>
      <c r="C15" s="52">
        <f t="shared" si="0"/>
        <v>3.8857142857142857</v>
      </c>
    </row>
    <row r="16" spans="1:3" x14ac:dyDescent="0.2">
      <c r="A16" t="s">
        <v>261</v>
      </c>
      <c r="B16" s="52">
        <v>27.25</v>
      </c>
      <c r="C16" s="52">
        <f t="shared" si="0"/>
        <v>3.8928571428571428</v>
      </c>
    </row>
    <row r="17" spans="1:3" x14ac:dyDescent="0.2">
      <c r="A17" t="s">
        <v>196</v>
      </c>
      <c r="B17" s="52">
        <v>27.25</v>
      </c>
      <c r="C17" s="52">
        <f t="shared" si="0"/>
        <v>3.8928571428571428</v>
      </c>
    </row>
    <row r="18" spans="1:3" x14ac:dyDescent="0.2">
      <c r="A18" t="s">
        <v>262</v>
      </c>
      <c r="B18" s="52">
        <v>27.25</v>
      </c>
      <c r="C18" s="52">
        <f t="shared" si="0"/>
        <v>3.8928571428571428</v>
      </c>
    </row>
    <row r="19" spans="1:3" x14ac:dyDescent="0.2">
      <c r="A19" t="s">
        <v>421</v>
      </c>
      <c r="B19" s="52">
        <v>27.25</v>
      </c>
      <c r="C19" s="52">
        <f t="shared" si="0"/>
        <v>3.8928571428571428</v>
      </c>
    </row>
    <row r="20" spans="1:3" x14ac:dyDescent="0.2">
      <c r="A20" t="s">
        <v>231</v>
      </c>
      <c r="B20" s="52">
        <v>26.65</v>
      </c>
      <c r="C20" s="52">
        <f t="shared" si="0"/>
        <v>3.8071428571428569</v>
      </c>
    </row>
    <row r="21" spans="1:3" x14ac:dyDescent="0.2">
      <c r="A21" t="s">
        <v>109</v>
      </c>
      <c r="B21" s="52">
        <v>26.65</v>
      </c>
      <c r="C21" s="52">
        <f t="shared" si="0"/>
        <v>3.8071428571428569</v>
      </c>
    </row>
  </sheetData>
  <pageMargins left="0.7" right="0.7" top="0.75" bottom="0.75" header="0.3" footer="0.3"/>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21"/>
  <sheetViews>
    <sheetView zoomScaleNormal="100" workbookViewId="0">
      <pane xSplit="1" ySplit="4" topLeftCell="B5" activePane="bottomRight" state="frozen"/>
      <selection sqref="A1:U1"/>
      <selection pane="topRight" sqref="A1:U1"/>
      <selection pane="bottomLeft" sqref="A1:U1"/>
      <selection pane="bottomRight" activeCell="A19" sqref="A19"/>
    </sheetView>
  </sheetViews>
  <sheetFormatPr defaultRowHeight="12.75" x14ac:dyDescent="0.2"/>
  <cols>
    <col min="1" max="1" width="16.7109375" style="41" customWidth="1"/>
    <col min="2" max="2" width="15" style="41" customWidth="1"/>
    <col min="3" max="12" width="12.7109375" style="42" customWidth="1"/>
    <col min="13" max="13" width="11.140625" style="42" customWidth="1"/>
    <col min="14" max="15" width="13.7109375" style="42" bestFit="1" customWidth="1"/>
    <col min="16" max="16" width="10.42578125" style="42" bestFit="1" customWidth="1"/>
    <col min="17" max="18" width="13.28515625" style="41" bestFit="1" customWidth="1"/>
    <col min="19" max="19" width="10.42578125" style="41" bestFit="1" customWidth="1"/>
    <col min="20" max="21" width="9.140625" style="41" customWidth="1"/>
    <col min="22" max="22" width="12" style="41" customWidth="1"/>
    <col min="23" max="23" width="12.140625" style="41" customWidth="1"/>
    <col min="24" max="24" width="11.42578125" style="41" customWidth="1"/>
    <col min="25" max="25" width="12.42578125" style="41" customWidth="1"/>
    <col min="26" max="26" width="13.85546875" style="41" customWidth="1"/>
    <col min="27" max="27" width="12.42578125" style="41" customWidth="1"/>
    <col min="28" max="28" width="12.28515625" style="41" customWidth="1"/>
    <col min="29" max="29" width="12.140625" style="41" customWidth="1"/>
    <col min="30" max="30" width="12.42578125" style="41" customWidth="1"/>
    <col min="31" max="31" width="9.140625" style="41" customWidth="1"/>
    <col min="32" max="32" width="12" style="41" customWidth="1"/>
    <col min="33" max="33" width="12.42578125" style="41" customWidth="1"/>
    <col min="34" max="34" width="12" style="41" customWidth="1"/>
    <col min="35" max="35" width="11.42578125" style="41" customWidth="1"/>
    <col min="36" max="36" width="11.140625" style="41" customWidth="1"/>
    <col min="37" max="37" width="10.85546875" style="41" customWidth="1"/>
    <col min="38" max="39" width="11.42578125" style="41" customWidth="1"/>
    <col min="40" max="41" width="10.42578125" style="41" customWidth="1"/>
    <col min="42" max="44" width="9.140625" style="41" customWidth="1"/>
    <col min="45" max="45" width="14.42578125" style="41" customWidth="1"/>
    <col min="46" max="46" width="13.42578125" style="41" customWidth="1"/>
    <col min="47" max="16384" width="9.140625" style="41"/>
  </cols>
  <sheetData>
    <row r="1" spans="1:48" ht="15.75" x14ac:dyDescent="0.25">
      <c r="A1" s="5" t="s">
        <v>570</v>
      </c>
      <c r="B1" s="42"/>
    </row>
    <row r="3" spans="1:48" x14ac:dyDescent="0.2">
      <c r="C3" s="77"/>
      <c r="D3" s="96"/>
      <c r="E3" s="96"/>
      <c r="F3" s="96"/>
      <c r="G3" s="96"/>
      <c r="H3" s="96"/>
      <c r="I3" s="96"/>
      <c r="J3" s="96"/>
      <c r="K3" s="96"/>
      <c r="L3" s="96"/>
      <c r="M3" s="96"/>
      <c r="N3" s="96"/>
      <c r="O3" s="96"/>
      <c r="P3" s="96"/>
      <c r="Q3" s="96"/>
      <c r="R3" s="96"/>
      <c r="S3" s="96"/>
      <c r="T3" s="96"/>
      <c r="U3" s="96"/>
      <c r="V3" s="96"/>
      <c r="W3" s="96"/>
      <c r="X3" s="96"/>
      <c r="Y3" s="77"/>
      <c r="Z3" s="77"/>
      <c r="AA3" s="77"/>
      <c r="AB3" s="77"/>
      <c r="AC3" s="96"/>
      <c r="AD3" s="96"/>
      <c r="AE3" s="96"/>
      <c r="AF3" s="96"/>
      <c r="AG3" s="96"/>
      <c r="AH3" s="96"/>
      <c r="AI3" s="97"/>
      <c r="AJ3" s="96"/>
      <c r="AK3" s="96"/>
      <c r="AL3" s="96"/>
      <c r="AM3" s="96"/>
      <c r="AN3" s="97"/>
      <c r="AO3" s="97"/>
      <c r="AP3" s="96"/>
      <c r="AQ3" s="487" t="s">
        <v>501</v>
      </c>
      <c r="AR3" s="487"/>
      <c r="AS3" s="487"/>
      <c r="AT3" s="487"/>
      <c r="AU3" s="487"/>
      <c r="AV3" s="487"/>
    </row>
    <row r="4" spans="1:48" ht="38.25" x14ac:dyDescent="0.2">
      <c r="B4" s="77" t="s">
        <v>437</v>
      </c>
      <c r="C4" s="96" t="s">
        <v>438</v>
      </c>
      <c r="D4" s="96" t="s">
        <v>439</v>
      </c>
      <c r="E4" s="96" t="s">
        <v>288</v>
      </c>
      <c r="F4" s="96" t="s">
        <v>308</v>
      </c>
      <c r="G4" s="96" t="s">
        <v>309</v>
      </c>
      <c r="H4" s="96" t="s">
        <v>310</v>
      </c>
      <c r="I4" s="96" t="s">
        <v>271</v>
      </c>
      <c r="J4" s="96" t="s">
        <v>272</v>
      </c>
      <c r="K4" s="96" t="s">
        <v>273</v>
      </c>
      <c r="L4" s="96" t="s">
        <v>274</v>
      </c>
      <c r="M4" s="96" t="s">
        <v>275</v>
      </c>
      <c r="N4" s="96" t="s">
        <v>276</v>
      </c>
      <c r="O4" s="96" t="s">
        <v>277</v>
      </c>
      <c r="P4" s="96" t="s">
        <v>278</v>
      </c>
      <c r="Q4" s="96" t="s">
        <v>279</v>
      </c>
      <c r="R4" s="96" t="s">
        <v>317</v>
      </c>
      <c r="S4" s="96" t="s">
        <v>318</v>
      </c>
      <c r="T4" s="96" t="s">
        <v>319</v>
      </c>
      <c r="U4" s="96" t="s">
        <v>320</v>
      </c>
      <c r="V4" s="96" t="s">
        <v>321</v>
      </c>
      <c r="W4" s="96" t="s">
        <v>328</v>
      </c>
      <c r="X4" s="77" t="s">
        <v>433</v>
      </c>
      <c r="Y4" s="77" t="s">
        <v>434</v>
      </c>
      <c r="Z4" s="77" t="s">
        <v>307</v>
      </c>
      <c r="AA4" s="77" t="s">
        <v>436</v>
      </c>
      <c r="AB4" s="96" t="s">
        <v>426</v>
      </c>
      <c r="AC4" s="96" t="s">
        <v>427</v>
      </c>
      <c r="AD4" s="96" t="s">
        <v>428</v>
      </c>
      <c r="AE4" s="96" t="s">
        <v>510</v>
      </c>
      <c r="AF4" s="96" t="s">
        <v>511</v>
      </c>
      <c r="AG4" s="96" t="s">
        <v>164</v>
      </c>
      <c r="AH4" s="97" t="s">
        <v>114</v>
      </c>
      <c r="AI4" s="96" t="s">
        <v>165</v>
      </c>
      <c r="AJ4" s="96" t="s">
        <v>540</v>
      </c>
      <c r="AK4" s="96" t="s">
        <v>541</v>
      </c>
      <c r="AL4" s="96" t="s">
        <v>624</v>
      </c>
      <c r="AM4" s="97" t="s">
        <v>235</v>
      </c>
      <c r="AN4" s="97" t="s">
        <v>236</v>
      </c>
      <c r="AO4" s="96" t="s">
        <v>544</v>
      </c>
      <c r="AP4" s="107" t="s">
        <v>386</v>
      </c>
      <c r="AQ4" s="107" t="s">
        <v>532</v>
      </c>
      <c r="AR4" s="107" t="s">
        <v>533</v>
      </c>
      <c r="AS4" s="107" t="s">
        <v>534</v>
      </c>
      <c r="AT4" s="107" t="s">
        <v>311</v>
      </c>
      <c r="AU4" s="107" t="s">
        <v>393</v>
      </c>
    </row>
    <row r="5" spans="1:48" x14ac:dyDescent="0.2">
      <c r="A5" t="s">
        <v>397</v>
      </c>
      <c r="B5" s="42">
        <v>500</v>
      </c>
      <c r="C5" s="42">
        <v>0</v>
      </c>
      <c r="D5" s="42">
        <v>0.34</v>
      </c>
      <c r="E5" s="42">
        <v>1000</v>
      </c>
      <c r="F5" s="42">
        <v>14</v>
      </c>
      <c r="G5" s="42">
        <v>150</v>
      </c>
      <c r="H5" s="42">
        <v>7</v>
      </c>
      <c r="I5" s="42">
        <v>80</v>
      </c>
      <c r="J5" s="42">
        <v>6</v>
      </c>
      <c r="K5" s="42">
        <v>460</v>
      </c>
      <c r="L5" s="42">
        <v>3000</v>
      </c>
      <c r="M5" s="42">
        <v>0.5</v>
      </c>
      <c r="N5" s="42">
        <v>0</v>
      </c>
      <c r="O5" s="42">
        <v>0.5</v>
      </c>
      <c r="P5" s="42">
        <v>0.9</v>
      </c>
      <c r="Q5" s="42">
        <v>0.5</v>
      </c>
      <c r="R5" s="42">
        <v>15</v>
      </c>
      <c r="S5" s="42">
        <v>6</v>
      </c>
      <c r="T5" s="42">
        <v>300</v>
      </c>
      <c r="U5" s="42">
        <v>3</v>
      </c>
      <c r="V5" s="42">
        <v>0</v>
      </c>
      <c r="W5" s="42">
        <v>0</v>
      </c>
      <c r="X5" s="42">
        <v>0</v>
      </c>
      <c r="Y5" s="42">
        <v>0</v>
      </c>
      <c r="Z5" s="42">
        <v>0</v>
      </c>
      <c r="AA5" s="42">
        <v>0</v>
      </c>
      <c r="AB5" s="42">
        <v>3</v>
      </c>
      <c r="AC5" s="42">
        <v>1</v>
      </c>
      <c r="AD5" s="42">
        <v>1</v>
      </c>
      <c r="AE5" s="42">
        <v>2</v>
      </c>
      <c r="AF5" s="42">
        <v>2</v>
      </c>
      <c r="AG5" s="42">
        <v>15</v>
      </c>
      <c r="AH5" s="42">
        <v>0</v>
      </c>
      <c r="AI5" s="42">
        <v>1.5</v>
      </c>
      <c r="AJ5" s="42">
        <v>0.14285714285714285</v>
      </c>
      <c r="AK5" s="42">
        <v>7.1428571428571425E-2</v>
      </c>
      <c r="AL5" s="42">
        <v>7.1428571428571425E-2</v>
      </c>
      <c r="AM5" s="42">
        <v>0.21428571428571427</v>
      </c>
      <c r="AN5" s="42">
        <v>0.5</v>
      </c>
      <c r="AO5" s="42">
        <v>0.5</v>
      </c>
      <c r="AP5" s="42">
        <v>0.05</v>
      </c>
      <c r="AQ5" s="53">
        <v>6.0000000000000001E-3</v>
      </c>
      <c r="AR5" s="42">
        <v>0.05</v>
      </c>
      <c r="AS5" s="42">
        <v>0.45</v>
      </c>
      <c r="AT5" s="42">
        <v>0.3</v>
      </c>
      <c r="AU5" s="42">
        <v>0</v>
      </c>
    </row>
    <row r="6" spans="1:48" x14ac:dyDescent="0.2">
      <c r="A6" t="s">
        <v>401</v>
      </c>
      <c r="B6" s="42">
        <v>500</v>
      </c>
      <c r="C6" s="42">
        <v>0</v>
      </c>
      <c r="D6" s="42">
        <v>0.34</v>
      </c>
      <c r="E6" s="42">
        <v>1200</v>
      </c>
      <c r="F6" s="42">
        <v>16.8</v>
      </c>
      <c r="G6" s="42">
        <v>150</v>
      </c>
      <c r="H6" s="42">
        <v>7</v>
      </c>
      <c r="I6" s="42">
        <v>80</v>
      </c>
      <c r="J6" s="42">
        <v>6</v>
      </c>
      <c r="K6" s="42">
        <v>460</v>
      </c>
      <c r="L6" s="42">
        <v>3000</v>
      </c>
      <c r="M6" s="42">
        <v>0.5</v>
      </c>
      <c r="N6" s="42">
        <v>0</v>
      </c>
      <c r="O6" s="42">
        <v>0.5</v>
      </c>
      <c r="P6" s="42">
        <v>0.9</v>
      </c>
      <c r="Q6" s="42">
        <v>0.5</v>
      </c>
      <c r="R6" s="42">
        <v>15</v>
      </c>
      <c r="S6" s="42">
        <v>6</v>
      </c>
      <c r="T6" s="42">
        <v>300</v>
      </c>
      <c r="U6" s="42">
        <v>3</v>
      </c>
      <c r="V6" s="42">
        <v>0</v>
      </c>
      <c r="W6" s="42">
        <v>0</v>
      </c>
      <c r="X6" s="42">
        <v>0</v>
      </c>
      <c r="Y6" s="42">
        <v>0</v>
      </c>
      <c r="Z6" s="42">
        <v>0</v>
      </c>
      <c r="AA6" s="42">
        <v>0</v>
      </c>
      <c r="AB6" s="42">
        <v>4</v>
      </c>
      <c r="AC6" s="42">
        <v>1.5</v>
      </c>
      <c r="AD6" s="42">
        <v>1</v>
      </c>
      <c r="AE6" s="42">
        <v>2</v>
      </c>
      <c r="AF6" s="42">
        <v>3</v>
      </c>
      <c r="AG6" s="42">
        <v>17</v>
      </c>
      <c r="AH6" s="42">
        <v>0</v>
      </c>
      <c r="AI6" s="42">
        <v>2</v>
      </c>
      <c r="AJ6" s="42">
        <v>0.21428571428571427</v>
      </c>
      <c r="AK6" s="42">
        <v>0.14285714285714285</v>
      </c>
      <c r="AL6" s="42">
        <v>0.14285714285714285</v>
      </c>
      <c r="AM6" s="42">
        <v>0.35714285714285715</v>
      </c>
      <c r="AN6" s="42">
        <v>0.6428571428571429</v>
      </c>
      <c r="AO6" s="42">
        <v>0.5</v>
      </c>
      <c r="AP6" s="42">
        <v>0.05</v>
      </c>
      <c r="AQ6" s="53">
        <v>6.0000000000000001E-3</v>
      </c>
      <c r="AR6" s="42">
        <v>0.05</v>
      </c>
      <c r="AS6" s="42">
        <v>0.45</v>
      </c>
      <c r="AT6" s="42">
        <v>0.3</v>
      </c>
      <c r="AU6" s="42">
        <v>0</v>
      </c>
    </row>
    <row r="7" spans="1:48" x14ac:dyDescent="0.2">
      <c r="A7" t="s">
        <v>398</v>
      </c>
      <c r="B7" s="42">
        <v>800</v>
      </c>
      <c r="C7" s="42">
        <v>0</v>
      </c>
      <c r="D7" s="42">
        <v>0.44</v>
      </c>
      <c r="E7" s="42">
        <v>1400</v>
      </c>
      <c r="F7" s="42">
        <v>19.600000000000001</v>
      </c>
      <c r="G7" s="42">
        <v>200</v>
      </c>
      <c r="H7" s="42">
        <v>10</v>
      </c>
      <c r="I7" s="42">
        <v>130</v>
      </c>
      <c r="J7" s="42">
        <v>8</v>
      </c>
      <c r="K7" s="42">
        <v>500</v>
      </c>
      <c r="L7" s="42">
        <v>3800</v>
      </c>
      <c r="M7" s="42">
        <v>0.6</v>
      </c>
      <c r="N7" s="42">
        <v>0</v>
      </c>
      <c r="O7" s="42">
        <v>0.6</v>
      </c>
      <c r="P7" s="42">
        <v>1.2</v>
      </c>
      <c r="Q7" s="42">
        <v>0.6</v>
      </c>
      <c r="R7" s="42">
        <v>25</v>
      </c>
      <c r="S7" s="42">
        <v>7</v>
      </c>
      <c r="T7" s="42">
        <v>400</v>
      </c>
      <c r="U7" s="42">
        <v>5</v>
      </c>
      <c r="V7" s="42">
        <v>0</v>
      </c>
      <c r="W7" s="42">
        <v>0</v>
      </c>
      <c r="X7" s="42">
        <v>0</v>
      </c>
      <c r="Y7" s="42">
        <v>0</v>
      </c>
      <c r="Z7" s="42">
        <v>0</v>
      </c>
      <c r="AA7" s="42">
        <v>0</v>
      </c>
      <c r="AB7" s="42">
        <v>5</v>
      </c>
      <c r="AC7" s="42">
        <v>1.5</v>
      </c>
      <c r="AD7" s="42">
        <v>1.5</v>
      </c>
      <c r="AE7" s="42">
        <v>2</v>
      </c>
      <c r="AF7" s="42">
        <v>4</v>
      </c>
      <c r="AG7" s="42">
        <v>17</v>
      </c>
      <c r="AH7" s="42">
        <v>0</v>
      </c>
      <c r="AI7" s="42">
        <v>2.5</v>
      </c>
      <c r="AJ7" s="42">
        <v>0.21428571428571427</v>
      </c>
      <c r="AK7" s="42">
        <v>0.14285714285714285</v>
      </c>
      <c r="AL7" s="42">
        <v>0.14285714285714285</v>
      </c>
      <c r="AM7" s="42">
        <v>0.35714285714285715</v>
      </c>
      <c r="AN7" s="42">
        <v>0.6428571428571429</v>
      </c>
      <c r="AO7" s="42">
        <v>0.75</v>
      </c>
      <c r="AP7" s="42">
        <v>0.05</v>
      </c>
      <c r="AQ7" s="53">
        <v>6.0000000000000001E-3</v>
      </c>
      <c r="AR7" s="42">
        <v>0.1</v>
      </c>
      <c r="AS7" s="42">
        <v>0.45</v>
      </c>
      <c r="AT7" s="42">
        <v>0.25</v>
      </c>
      <c r="AU7" s="42">
        <v>0</v>
      </c>
    </row>
    <row r="8" spans="1:48" x14ac:dyDescent="0.2">
      <c r="A8" t="s">
        <v>399</v>
      </c>
      <c r="B8" s="42">
        <v>800</v>
      </c>
      <c r="C8" s="42">
        <v>0</v>
      </c>
      <c r="D8" s="42">
        <v>0.44</v>
      </c>
      <c r="E8" s="42">
        <v>1600</v>
      </c>
      <c r="F8" s="42">
        <v>22.4</v>
      </c>
      <c r="G8" s="42">
        <v>200</v>
      </c>
      <c r="H8" s="42">
        <v>10</v>
      </c>
      <c r="I8" s="42">
        <v>130</v>
      </c>
      <c r="J8" s="42">
        <v>8</v>
      </c>
      <c r="K8" s="42">
        <v>500</v>
      </c>
      <c r="L8" s="42">
        <v>3800</v>
      </c>
      <c r="M8" s="42">
        <v>0.6</v>
      </c>
      <c r="N8" s="42">
        <v>0</v>
      </c>
      <c r="O8" s="42">
        <v>0.6</v>
      </c>
      <c r="P8" s="42">
        <v>1.2</v>
      </c>
      <c r="Q8" s="42">
        <v>0.6</v>
      </c>
      <c r="R8" s="42">
        <v>25</v>
      </c>
      <c r="S8" s="42">
        <v>7</v>
      </c>
      <c r="T8" s="42">
        <v>400</v>
      </c>
      <c r="U8" s="42">
        <v>5</v>
      </c>
      <c r="V8" s="42">
        <v>0</v>
      </c>
      <c r="W8" s="42">
        <v>0</v>
      </c>
      <c r="X8" s="42">
        <v>0</v>
      </c>
      <c r="Y8" s="42">
        <v>0</v>
      </c>
      <c r="Z8" s="42">
        <v>0</v>
      </c>
      <c r="AA8" s="42">
        <v>0</v>
      </c>
      <c r="AB8" s="42">
        <v>5</v>
      </c>
      <c r="AC8" s="42">
        <v>2</v>
      </c>
      <c r="AD8" s="42">
        <v>1.5</v>
      </c>
      <c r="AE8" s="42">
        <v>2</v>
      </c>
      <c r="AF8" s="42">
        <v>5</v>
      </c>
      <c r="AG8" s="42">
        <v>22</v>
      </c>
      <c r="AH8" s="42">
        <v>0</v>
      </c>
      <c r="AI8" s="42">
        <v>2.5</v>
      </c>
      <c r="AJ8" s="42">
        <v>0.2857142857142857</v>
      </c>
      <c r="AK8" s="42">
        <v>0.21428571428571427</v>
      </c>
      <c r="AL8" s="42">
        <v>0.35714285714285715</v>
      </c>
      <c r="AM8" s="42">
        <v>0.35714285714285715</v>
      </c>
      <c r="AN8" s="42">
        <v>0.7857142857142857</v>
      </c>
      <c r="AO8" s="42">
        <v>0.75</v>
      </c>
      <c r="AP8" s="42">
        <v>0.05</v>
      </c>
      <c r="AQ8" s="53">
        <v>6.0000000000000001E-3</v>
      </c>
      <c r="AR8" s="42">
        <v>0.1</v>
      </c>
      <c r="AS8" s="42">
        <v>0.45</v>
      </c>
      <c r="AT8" s="42">
        <v>0.25</v>
      </c>
      <c r="AU8" s="42">
        <v>0</v>
      </c>
    </row>
    <row r="9" spans="1:48" x14ac:dyDescent="0.2">
      <c r="A9" t="s">
        <v>405</v>
      </c>
      <c r="B9" s="42">
        <v>1300</v>
      </c>
      <c r="C9" s="42">
        <v>0</v>
      </c>
      <c r="D9" s="42">
        <v>0.7</v>
      </c>
      <c r="E9" s="42">
        <v>2000</v>
      </c>
      <c r="F9" s="42">
        <v>28</v>
      </c>
      <c r="G9" s="42">
        <v>300</v>
      </c>
      <c r="H9" s="42">
        <v>8</v>
      </c>
      <c r="I9" s="42">
        <v>240</v>
      </c>
      <c r="J9" s="42">
        <v>12</v>
      </c>
      <c r="K9" s="42">
        <v>1250</v>
      </c>
      <c r="L9" s="42">
        <v>4500</v>
      </c>
      <c r="M9" s="42">
        <v>0.9</v>
      </c>
      <c r="N9" s="42">
        <v>0</v>
      </c>
      <c r="O9" s="42">
        <v>0.9</v>
      </c>
      <c r="P9" s="42">
        <v>1.8</v>
      </c>
      <c r="Q9" s="42">
        <v>1</v>
      </c>
      <c r="R9" s="42">
        <v>45</v>
      </c>
      <c r="S9" s="42">
        <v>11</v>
      </c>
      <c r="T9" s="42">
        <v>600</v>
      </c>
      <c r="U9" s="42">
        <v>8</v>
      </c>
      <c r="V9" s="42">
        <v>0</v>
      </c>
      <c r="W9" s="42">
        <v>0</v>
      </c>
      <c r="X9" s="42">
        <v>0</v>
      </c>
      <c r="Y9" s="42">
        <v>0</v>
      </c>
      <c r="Z9" s="42">
        <v>0</v>
      </c>
      <c r="AA9" s="42">
        <v>0</v>
      </c>
      <c r="AB9" s="42">
        <v>6</v>
      </c>
      <c r="AC9" s="42">
        <v>2.5</v>
      </c>
      <c r="AD9" s="42">
        <v>2</v>
      </c>
      <c r="AE9" s="42">
        <v>3</v>
      </c>
      <c r="AF9" s="42">
        <v>5.5</v>
      </c>
      <c r="AG9" s="42">
        <v>27</v>
      </c>
      <c r="AH9" s="42">
        <v>0</v>
      </c>
      <c r="AI9" s="42">
        <v>3</v>
      </c>
      <c r="AJ9" s="42">
        <v>0.42857142857142855</v>
      </c>
      <c r="AK9" s="42">
        <v>0.2857142857142857</v>
      </c>
      <c r="AL9" s="42">
        <v>0.42857142857142855</v>
      </c>
      <c r="AM9" s="42">
        <v>0.42857142857142855</v>
      </c>
      <c r="AN9" s="42">
        <v>0.9285714285714286</v>
      </c>
      <c r="AO9" s="42">
        <v>1</v>
      </c>
      <c r="AP9" s="42">
        <v>0.05</v>
      </c>
      <c r="AQ9" s="53">
        <v>6.0000000000000001E-3</v>
      </c>
      <c r="AR9" s="42">
        <v>0.1</v>
      </c>
      <c r="AS9" s="42">
        <v>0.45</v>
      </c>
      <c r="AT9" s="42">
        <v>0.25</v>
      </c>
      <c r="AU9" s="42">
        <v>0</v>
      </c>
    </row>
    <row r="10" spans="1:48" x14ac:dyDescent="0.2">
      <c r="A10" t="s">
        <v>402</v>
      </c>
      <c r="B10" s="42">
        <v>1300</v>
      </c>
      <c r="C10" s="42">
        <v>0</v>
      </c>
      <c r="D10" s="42">
        <v>0.7</v>
      </c>
      <c r="E10" s="42">
        <v>2400</v>
      </c>
      <c r="F10" s="42">
        <v>33.6</v>
      </c>
      <c r="G10" s="42">
        <v>300</v>
      </c>
      <c r="H10" s="42">
        <v>8</v>
      </c>
      <c r="I10" s="42">
        <v>240</v>
      </c>
      <c r="J10" s="42">
        <v>12</v>
      </c>
      <c r="K10" s="42">
        <v>1250</v>
      </c>
      <c r="L10" s="42">
        <v>4500</v>
      </c>
      <c r="M10" s="42">
        <v>0.9</v>
      </c>
      <c r="N10" s="42">
        <v>0</v>
      </c>
      <c r="O10" s="42">
        <v>0.9</v>
      </c>
      <c r="P10" s="42">
        <v>1.8</v>
      </c>
      <c r="Q10" s="42">
        <v>1</v>
      </c>
      <c r="R10" s="42">
        <v>45</v>
      </c>
      <c r="S10" s="42">
        <v>11</v>
      </c>
      <c r="T10" s="42">
        <v>600</v>
      </c>
      <c r="U10" s="42">
        <v>8</v>
      </c>
      <c r="V10" s="42">
        <v>0</v>
      </c>
      <c r="W10" s="42">
        <v>0</v>
      </c>
      <c r="X10" s="42">
        <v>0</v>
      </c>
      <c r="Y10" s="42">
        <v>0</v>
      </c>
      <c r="Z10" s="42">
        <v>0</v>
      </c>
      <c r="AA10" s="42">
        <v>0</v>
      </c>
      <c r="AB10" s="42">
        <v>8</v>
      </c>
      <c r="AC10" s="42">
        <v>3</v>
      </c>
      <c r="AD10" s="42">
        <v>2</v>
      </c>
      <c r="AE10" s="42">
        <v>3</v>
      </c>
      <c r="AF10" s="42">
        <v>6.5</v>
      </c>
      <c r="AG10" s="42">
        <v>31</v>
      </c>
      <c r="AH10" s="42">
        <v>0</v>
      </c>
      <c r="AI10" s="42">
        <v>4</v>
      </c>
      <c r="AJ10" s="42">
        <v>0.42857142857142855</v>
      </c>
      <c r="AK10" s="42">
        <v>0.2857142857142857</v>
      </c>
      <c r="AL10" s="42">
        <v>0.42857142857142855</v>
      </c>
      <c r="AM10" s="42">
        <v>0.8571428571428571</v>
      </c>
      <c r="AN10" s="42">
        <v>1</v>
      </c>
      <c r="AO10" s="42">
        <v>1</v>
      </c>
      <c r="AP10" s="42">
        <v>0.05</v>
      </c>
      <c r="AQ10" s="53">
        <v>6.0000000000000001E-3</v>
      </c>
      <c r="AR10" s="42">
        <v>0.1</v>
      </c>
      <c r="AS10" s="42">
        <v>0.45</v>
      </c>
      <c r="AT10" s="42">
        <v>0.25</v>
      </c>
      <c r="AU10" s="42">
        <v>0</v>
      </c>
    </row>
    <row r="11" spans="1:48" x14ac:dyDescent="0.2">
      <c r="A11" t="s">
        <v>257</v>
      </c>
      <c r="B11" s="42">
        <v>1300</v>
      </c>
      <c r="C11" s="42">
        <v>0</v>
      </c>
      <c r="D11" s="42">
        <v>0.89</v>
      </c>
      <c r="E11" s="42">
        <v>3000</v>
      </c>
      <c r="F11" s="42">
        <v>42</v>
      </c>
      <c r="G11" s="42">
        <v>400</v>
      </c>
      <c r="H11" s="42">
        <v>11</v>
      </c>
      <c r="I11" s="42">
        <v>410</v>
      </c>
      <c r="J11" s="42">
        <v>16</v>
      </c>
      <c r="K11" s="42">
        <v>1250</v>
      </c>
      <c r="L11" s="42">
        <v>4700</v>
      </c>
      <c r="M11" s="42">
        <v>1.3</v>
      </c>
      <c r="N11" s="42">
        <v>0</v>
      </c>
      <c r="O11" s="42">
        <v>1.2</v>
      </c>
      <c r="P11" s="42">
        <v>2.4</v>
      </c>
      <c r="Q11" s="42">
        <v>1.3</v>
      </c>
      <c r="R11" s="42">
        <v>75</v>
      </c>
      <c r="S11" s="42">
        <v>15</v>
      </c>
      <c r="T11" s="42">
        <v>900</v>
      </c>
      <c r="U11" s="42">
        <v>11</v>
      </c>
      <c r="V11" s="42">
        <v>0</v>
      </c>
      <c r="W11" s="42">
        <v>0</v>
      </c>
      <c r="X11" s="42">
        <v>0</v>
      </c>
      <c r="Y11" s="42">
        <v>0</v>
      </c>
      <c r="Z11" s="42">
        <v>0</v>
      </c>
      <c r="AA11" s="42">
        <v>0</v>
      </c>
      <c r="AB11" s="42">
        <v>10</v>
      </c>
      <c r="AC11" s="42">
        <v>4</v>
      </c>
      <c r="AD11" s="42">
        <v>2.5</v>
      </c>
      <c r="AE11" s="42">
        <v>3</v>
      </c>
      <c r="AF11" s="42">
        <v>7</v>
      </c>
      <c r="AG11" s="42">
        <v>44</v>
      </c>
      <c r="AH11" s="42">
        <v>0</v>
      </c>
      <c r="AI11" s="42">
        <v>5</v>
      </c>
      <c r="AJ11" s="42">
        <v>0.42857142857142855</v>
      </c>
      <c r="AK11" s="42">
        <v>0.35714285714285715</v>
      </c>
      <c r="AL11" s="42">
        <v>0.5</v>
      </c>
      <c r="AM11" s="42">
        <v>1.2857142857142858</v>
      </c>
      <c r="AN11" s="42">
        <v>1.4285714285714286</v>
      </c>
      <c r="AO11" s="42">
        <v>1.25</v>
      </c>
      <c r="AP11" s="42">
        <v>0.05</v>
      </c>
      <c r="AQ11" s="53">
        <v>6.0000000000000001E-3</v>
      </c>
      <c r="AR11" s="42">
        <v>0.1</v>
      </c>
      <c r="AS11" s="42">
        <v>0.45</v>
      </c>
      <c r="AT11" s="42">
        <v>0.25</v>
      </c>
      <c r="AU11" s="42">
        <v>0</v>
      </c>
    </row>
    <row r="12" spans="1:48" x14ac:dyDescent="0.2">
      <c r="A12" t="s">
        <v>258</v>
      </c>
      <c r="B12" s="42">
        <v>1000</v>
      </c>
      <c r="C12" s="42">
        <v>0</v>
      </c>
      <c r="D12" s="42">
        <v>0.9</v>
      </c>
      <c r="E12" s="42">
        <v>2800</v>
      </c>
      <c r="F12" s="42">
        <v>39.200000000000003</v>
      </c>
      <c r="G12" s="42">
        <v>400</v>
      </c>
      <c r="H12" s="42">
        <v>8</v>
      </c>
      <c r="I12" s="42">
        <v>420</v>
      </c>
      <c r="J12" s="42">
        <v>16</v>
      </c>
      <c r="K12" s="42">
        <v>700</v>
      </c>
      <c r="L12" s="42">
        <v>4700</v>
      </c>
      <c r="M12" s="42">
        <v>1.3</v>
      </c>
      <c r="N12" s="42">
        <v>0</v>
      </c>
      <c r="O12" s="42">
        <v>1.2</v>
      </c>
      <c r="P12" s="42">
        <v>2.4</v>
      </c>
      <c r="Q12" s="42">
        <v>1.3</v>
      </c>
      <c r="R12" s="42">
        <v>90</v>
      </c>
      <c r="S12" s="42">
        <v>15</v>
      </c>
      <c r="T12" s="42">
        <v>900</v>
      </c>
      <c r="U12" s="42">
        <v>11</v>
      </c>
      <c r="V12" s="42">
        <v>0</v>
      </c>
      <c r="W12" s="42">
        <v>0</v>
      </c>
      <c r="X12" s="42">
        <v>0</v>
      </c>
      <c r="Y12" s="42">
        <v>0</v>
      </c>
      <c r="Z12" s="42">
        <v>0</v>
      </c>
      <c r="AA12" s="42">
        <v>0</v>
      </c>
      <c r="AB12" s="42">
        <v>10</v>
      </c>
      <c r="AC12" s="42">
        <v>3.5</v>
      </c>
      <c r="AD12" s="42">
        <v>2.5</v>
      </c>
      <c r="AE12" s="42">
        <v>3</v>
      </c>
      <c r="AF12" s="42">
        <v>7</v>
      </c>
      <c r="AG12" s="42">
        <v>36</v>
      </c>
      <c r="AH12" s="42">
        <v>0</v>
      </c>
      <c r="AI12" s="42">
        <v>5</v>
      </c>
      <c r="AJ12" s="42">
        <v>0.42857142857142855</v>
      </c>
      <c r="AK12" s="42">
        <v>0.35714285714285715</v>
      </c>
      <c r="AL12" s="42">
        <v>0.5</v>
      </c>
      <c r="AM12" s="42">
        <v>1</v>
      </c>
      <c r="AN12" s="42">
        <v>1.2142857142857142</v>
      </c>
      <c r="AO12" s="42">
        <v>1.25</v>
      </c>
      <c r="AP12" s="42">
        <v>0.05</v>
      </c>
      <c r="AQ12" s="53">
        <v>6.0000000000000001E-3</v>
      </c>
      <c r="AR12" s="42">
        <v>0.1</v>
      </c>
      <c r="AS12" s="42">
        <v>0.45</v>
      </c>
      <c r="AT12" s="42">
        <v>0.2</v>
      </c>
      <c r="AU12" s="42">
        <v>0</v>
      </c>
    </row>
    <row r="13" spans="1:48" x14ac:dyDescent="0.2">
      <c r="A13" s="333" t="s">
        <v>654</v>
      </c>
      <c r="B13" s="42">
        <v>1000</v>
      </c>
      <c r="C13" s="42">
        <v>0</v>
      </c>
      <c r="D13" s="42">
        <v>0.9</v>
      </c>
      <c r="E13" s="42">
        <v>2800</v>
      </c>
      <c r="F13" s="42">
        <v>39.200000000000003</v>
      </c>
      <c r="G13" s="42">
        <v>400</v>
      </c>
      <c r="H13" s="42">
        <v>8</v>
      </c>
      <c r="I13" s="42">
        <v>420</v>
      </c>
      <c r="J13" s="42">
        <v>16</v>
      </c>
      <c r="K13" s="42">
        <v>700</v>
      </c>
      <c r="L13" s="42">
        <v>4700</v>
      </c>
      <c r="M13" s="42">
        <v>1.3</v>
      </c>
      <c r="N13" s="42">
        <v>0</v>
      </c>
      <c r="O13" s="42">
        <v>1.2</v>
      </c>
      <c r="P13" s="42">
        <v>2.4</v>
      </c>
      <c r="Q13" s="42">
        <v>1.3</v>
      </c>
      <c r="R13" s="42">
        <v>90</v>
      </c>
      <c r="S13" s="42">
        <v>15</v>
      </c>
      <c r="T13" s="42">
        <v>900</v>
      </c>
      <c r="U13" s="42">
        <v>11</v>
      </c>
      <c r="V13" s="42">
        <v>0</v>
      </c>
      <c r="W13" s="42">
        <v>0</v>
      </c>
      <c r="X13" s="42">
        <v>0</v>
      </c>
      <c r="Y13" s="42">
        <v>0</v>
      </c>
      <c r="Z13" s="42">
        <v>0</v>
      </c>
      <c r="AA13" s="42">
        <v>0</v>
      </c>
      <c r="AB13" s="42">
        <v>10</v>
      </c>
      <c r="AC13" s="42">
        <v>3.5</v>
      </c>
      <c r="AD13" s="42">
        <v>2.5</v>
      </c>
      <c r="AE13" s="42">
        <v>3</v>
      </c>
      <c r="AF13" s="42">
        <v>7</v>
      </c>
      <c r="AG13" s="42">
        <v>36</v>
      </c>
      <c r="AH13" s="42">
        <v>0</v>
      </c>
      <c r="AI13" s="42">
        <v>5</v>
      </c>
      <c r="AJ13" s="42">
        <v>0.42857142857142855</v>
      </c>
      <c r="AK13" s="42">
        <v>0.35714285714285715</v>
      </c>
      <c r="AL13" s="42">
        <v>0.5</v>
      </c>
      <c r="AM13" s="42">
        <v>1</v>
      </c>
      <c r="AN13" s="42">
        <v>1.2142857142857142</v>
      </c>
      <c r="AO13" s="42">
        <v>1.25</v>
      </c>
      <c r="AP13" s="42">
        <v>0.05</v>
      </c>
      <c r="AQ13" s="53">
        <v>6.0000000000000001E-3</v>
      </c>
      <c r="AR13" s="42">
        <v>0.1</v>
      </c>
      <c r="AS13" s="42">
        <v>0.45</v>
      </c>
      <c r="AT13" s="42">
        <v>0.2</v>
      </c>
      <c r="AU13" s="42">
        <v>0</v>
      </c>
    </row>
    <row r="14" spans="1:48" x14ac:dyDescent="0.2">
      <c r="A14" t="s">
        <v>260</v>
      </c>
      <c r="B14" s="42">
        <v>1200</v>
      </c>
      <c r="C14" s="42">
        <v>0</v>
      </c>
      <c r="D14" s="42">
        <v>0.9</v>
      </c>
      <c r="E14" s="42">
        <v>2600</v>
      </c>
      <c r="F14" s="42">
        <v>36.4</v>
      </c>
      <c r="G14" s="42">
        <v>400</v>
      </c>
      <c r="H14" s="42">
        <v>8</v>
      </c>
      <c r="I14" s="42">
        <v>420</v>
      </c>
      <c r="J14" s="42">
        <v>16</v>
      </c>
      <c r="K14" s="42">
        <v>700</v>
      </c>
      <c r="L14" s="42">
        <v>4700</v>
      </c>
      <c r="M14" s="42">
        <v>1.3</v>
      </c>
      <c r="N14" s="42">
        <v>0</v>
      </c>
      <c r="O14" s="42">
        <v>1.2</v>
      </c>
      <c r="P14" s="42">
        <v>2.4</v>
      </c>
      <c r="Q14" s="42">
        <v>1.7</v>
      </c>
      <c r="R14" s="42">
        <v>90</v>
      </c>
      <c r="S14" s="42">
        <v>15</v>
      </c>
      <c r="T14" s="42">
        <v>900</v>
      </c>
      <c r="U14" s="42">
        <v>11</v>
      </c>
      <c r="V14" s="42">
        <v>0</v>
      </c>
      <c r="W14" s="42">
        <v>0</v>
      </c>
      <c r="X14" s="42">
        <v>0</v>
      </c>
      <c r="Y14" s="42">
        <v>0</v>
      </c>
      <c r="Z14" s="42">
        <v>0</v>
      </c>
      <c r="AA14" s="42">
        <v>0</v>
      </c>
      <c r="AB14" s="42">
        <v>9</v>
      </c>
      <c r="AC14" s="42">
        <v>3.5</v>
      </c>
      <c r="AD14" s="42">
        <v>2</v>
      </c>
      <c r="AE14" s="42">
        <v>3</v>
      </c>
      <c r="AF14" s="42">
        <v>6.5</v>
      </c>
      <c r="AG14" s="42">
        <v>34</v>
      </c>
      <c r="AH14" s="42">
        <v>0</v>
      </c>
      <c r="AI14" s="42">
        <v>4.5</v>
      </c>
      <c r="AJ14" s="42">
        <v>0.42857142857142855</v>
      </c>
      <c r="AK14" s="42">
        <v>0.35714285714285715</v>
      </c>
      <c r="AL14" s="42">
        <v>0.5</v>
      </c>
      <c r="AM14" s="42">
        <v>1</v>
      </c>
      <c r="AN14" s="42">
        <v>1.2142857142857142</v>
      </c>
      <c r="AO14" s="42">
        <v>1</v>
      </c>
      <c r="AP14" s="42">
        <v>0.05</v>
      </c>
      <c r="AQ14" s="53">
        <v>6.0000000000000001E-3</v>
      </c>
      <c r="AR14" s="42">
        <v>0.1</v>
      </c>
      <c r="AS14" s="42">
        <v>0.45</v>
      </c>
      <c r="AT14" s="42">
        <v>0.2</v>
      </c>
      <c r="AU14" s="42">
        <v>0</v>
      </c>
    </row>
    <row r="15" spans="1:48" x14ac:dyDescent="0.2">
      <c r="A15" t="s">
        <v>110</v>
      </c>
      <c r="B15" s="42">
        <v>1200</v>
      </c>
      <c r="C15" s="42">
        <v>0</v>
      </c>
      <c r="D15" s="42">
        <v>0.9</v>
      </c>
      <c r="E15" s="42">
        <v>2200</v>
      </c>
      <c r="F15" s="42">
        <v>30.8</v>
      </c>
      <c r="G15" s="42">
        <v>400</v>
      </c>
      <c r="H15" s="42">
        <v>8</v>
      </c>
      <c r="I15" s="42">
        <v>420</v>
      </c>
      <c r="J15" s="42">
        <v>16</v>
      </c>
      <c r="K15" s="42">
        <v>700</v>
      </c>
      <c r="L15" s="42">
        <v>4700</v>
      </c>
      <c r="M15" s="42">
        <v>1.3</v>
      </c>
      <c r="N15" s="42">
        <v>0</v>
      </c>
      <c r="O15" s="42">
        <v>1.2</v>
      </c>
      <c r="P15" s="42">
        <v>2.4</v>
      </c>
      <c r="Q15" s="42">
        <v>1.7</v>
      </c>
      <c r="R15" s="42">
        <v>90</v>
      </c>
      <c r="S15" s="42">
        <v>15</v>
      </c>
      <c r="T15" s="42">
        <v>900</v>
      </c>
      <c r="U15" s="42">
        <v>11</v>
      </c>
      <c r="V15" s="42">
        <v>0</v>
      </c>
      <c r="W15" s="42">
        <v>0</v>
      </c>
      <c r="X15" s="42">
        <v>0</v>
      </c>
      <c r="Y15" s="42">
        <v>0</v>
      </c>
      <c r="Z15" s="42">
        <v>0</v>
      </c>
      <c r="AA15" s="42">
        <v>0</v>
      </c>
      <c r="AB15" s="42">
        <v>7</v>
      </c>
      <c r="AC15" s="42">
        <v>3</v>
      </c>
      <c r="AD15" s="42">
        <v>2</v>
      </c>
      <c r="AE15" s="42">
        <v>3</v>
      </c>
      <c r="AF15" s="42">
        <v>6</v>
      </c>
      <c r="AG15" s="42">
        <v>29</v>
      </c>
      <c r="AH15" s="42">
        <v>0</v>
      </c>
      <c r="AI15" s="42">
        <v>3.5</v>
      </c>
      <c r="AJ15" s="42">
        <v>0.42857142857142855</v>
      </c>
      <c r="AK15" s="42">
        <v>0.2857142857142857</v>
      </c>
      <c r="AL15" s="42">
        <v>0.42857142857142855</v>
      </c>
      <c r="AM15" s="42">
        <v>0.8571428571428571</v>
      </c>
      <c r="AN15" s="42">
        <v>1</v>
      </c>
      <c r="AO15" s="42">
        <v>1</v>
      </c>
      <c r="AP15" s="42">
        <v>0.05</v>
      </c>
      <c r="AQ15" s="53">
        <v>6.0000000000000001E-3</v>
      </c>
      <c r="AR15" s="42">
        <v>0.1</v>
      </c>
      <c r="AS15" s="42">
        <v>0.45</v>
      </c>
      <c r="AT15" s="42">
        <v>0.2</v>
      </c>
      <c r="AU15" s="42">
        <v>0</v>
      </c>
    </row>
    <row r="16" spans="1:48" x14ac:dyDescent="0.2">
      <c r="A16" t="s">
        <v>261</v>
      </c>
      <c r="B16" s="42">
        <v>1300</v>
      </c>
      <c r="C16" s="42">
        <v>0</v>
      </c>
      <c r="D16" s="42">
        <v>0.7</v>
      </c>
      <c r="E16" s="42">
        <v>2200</v>
      </c>
      <c r="F16" s="42">
        <v>30.8</v>
      </c>
      <c r="G16" s="42">
        <v>300</v>
      </c>
      <c r="H16" s="42">
        <v>8</v>
      </c>
      <c r="I16" s="42">
        <v>240</v>
      </c>
      <c r="J16" s="42">
        <v>12</v>
      </c>
      <c r="K16" s="42">
        <v>1250</v>
      </c>
      <c r="L16" s="42">
        <v>4500</v>
      </c>
      <c r="M16" s="42">
        <v>0.9</v>
      </c>
      <c r="N16" s="42">
        <v>0</v>
      </c>
      <c r="O16" s="42">
        <v>0.9</v>
      </c>
      <c r="P16" s="42">
        <v>1.8</v>
      </c>
      <c r="Q16" s="42">
        <v>1</v>
      </c>
      <c r="R16" s="42">
        <v>45</v>
      </c>
      <c r="S16" s="42">
        <v>11</v>
      </c>
      <c r="T16" s="42">
        <v>600</v>
      </c>
      <c r="U16" s="42">
        <v>8</v>
      </c>
      <c r="V16" s="42">
        <v>0</v>
      </c>
      <c r="W16" s="42">
        <v>0</v>
      </c>
      <c r="X16" s="42">
        <v>0</v>
      </c>
      <c r="Y16" s="42">
        <v>0</v>
      </c>
      <c r="Z16" s="42">
        <v>0</v>
      </c>
      <c r="AA16" s="42">
        <v>0</v>
      </c>
      <c r="AB16" s="42">
        <v>7</v>
      </c>
      <c r="AC16" s="42">
        <v>3</v>
      </c>
      <c r="AD16" s="42">
        <v>2</v>
      </c>
      <c r="AE16" s="42">
        <v>3</v>
      </c>
      <c r="AF16" s="42">
        <v>6</v>
      </c>
      <c r="AG16" s="42">
        <v>29</v>
      </c>
      <c r="AH16" s="42">
        <v>0</v>
      </c>
      <c r="AI16" s="42">
        <v>3.5</v>
      </c>
      <c r="AJ16" s="42">
        <v>0.42857142857142855</v>
      </c>
      <c r="AK16" s="42">
        <v>0.2857142857142857</v>
      </c>
      <c r="AL16" s="42">
        <v>0.42857142857142855</v>
      </c>
      <c r="AM16" s="42">
        <v>0.8571428571428571</v>
      </c>
      <c r="AN16" s="42">
        <v>1</v>
      </c>
      <c r="AO16" s="42">
        <v>1</v>
      </c>
      <c r="AP16" s="42">
        <v>0.05</v>
      </c>
      <c r="AQ16" s="53">
        <v>6.0000000000000001E-3</v>
      </c>
      <c r="AR16" s="42">
        <v>0.1</v>
      </c>
      <c r="AS16" s="42">
        <v>0.45</v>
      </c>
      <c r="AT16" s="42">
        <v>0.25</v>
      </c>
      <c r="AU16" s="42">
        <v>0</v>
      </c>
    </row>
    <row r="17" spans="1:47" x14ac:dyDescent="0.2">
      <c r="A17" t="s">
        <v>196</v>
      </c>
      <c r="B17" s="42">
        <v>1300</v>
      </c>
      <c r="C17" s="42">
        <v>0</v>
      </c>
      <c r="D17" s="42">
        <v>0.89</v>
      </c>
      <c r="E17" s="42">
        <v>2200</v>
      </c>
      <c r="F17" s="42">
        <v>30.8</v>
      </c>
      <c r="G17" s="42">
        <v>400</v>
      </c>
      <c r="H17" s="42">
        <v>15</v>
      </c>
      <c r="I17" s="42">
        <v>360</v>
      </c>
      <c r="J17" s="42">
        <v>14</v>
      </c>
      <c r="K17" s="42">
        <v>1250</v>
      </c>
      <c r="L17" s="42">
        <v>4700</v>
      </c>
      <c r="M17" s="42">
        <v>1</v>
      </c>
      <c r="N17" s="42">
        <v>0</v>
      </c>
      <c r="O17" s="42">
        <v>1</v>
      </c>
      <c r="P17" s="42">
        <v>2.4</v>
      </c>
      <c r="Q17" s="42">
        <v>1.2</v>
      </c>
      <c r="R17" s="42">
        <v>65</v>
      </c>
      <c r="S17" s="42">
        <v>15</v>
      </c>
      <c r="T17" s="42">
        <v>700</v>
      </c>
      <c r="U17" s="42">
        <v>9</v>
      </c>
      <c r="V17" s="42">
        <v>0</v>
      </c>
      <c r="W17" s="42">
        <v>0</v>
      </c>
      <c r="X17" s="42">
        <v>0</v>
      </c>
      <c r="Y17" s="42">
        <v>0</v>
      </c>
      <c r="Z17" s="42">
        <v>0</v>
      </c>
      <c r="AA17" s="42">
        <v>0</v>
      </c>
      <c r="AB17" s="42">
        <v>7</v>
      </c>
      <c r="AC17" s="42">
        <v>3</v>
      </c>
      <c r="AD17" s="42">
        <v>2</v>
      </c>
      <c r="AE17" s="42">
        <v>3</v>
      </c>
      <c r="AF17" s="42">
        <v>6</v>
      </c>
      <c r="AG17" s="42">
        <v>29</v>
      </c>
      <c r="AH17" s="42">
        <v>0</v>
      </c>
      <c r="AI17" s="42">
        <v>3.5</v>
      </c>
      <c r="AJ17" s="42">
        <v>0.42857142857142855</v>
      </c>
      <c r="AK17" s="42">
        <v>0.2857142857142857</v>
      </c>
      <c r="AL17" s="42">
        <v>0.42857142857142855</v>
      </c>
      <c r="AM17" s="42">
        <v>0.8571428571428571</v>
      </c>
      <c r="AN17" s="42">
        <v>1</v>
      </c>
      <c r="AO17" s="42">
        <v>1</v>
      </c>
      <c r="AP17" s="42">
        <v>0.05</v>
      </c>
      <c r="AQ17" s="53">
        <v>6.0000000000000001E-3</v>
      </c>
      <c r="AR17" s="42">
        <v>0.1</v>
      </c>
      <c r="AS17" s="42">
        <v>0.45</v>
      </c>
      <c r="AT17" s="42">
        <v>0.25</v>
      </c>
      <c r="AU17" s="42">
        <v>0</v>
      </c>
    </row>
    <row r="18" spans="1:47" x14ac:dyDescent="0.2">
      <c r="A18" t="s">
        <v>262</v>
      </c>
      <c r="B18" s="42">
        <v>1000</v>
      </c>
      <c r="C18" s="42">
        <v>0</v>
      </c>
      <c r="D18" s="42">
        <v>0.9</v>
      </c>
      <c r="E18" s="42">
        <v>2200</v>
      </c>
      <c r="F18" s="42">
        <v>30.8</v>
      </c>
      <c r="G18" s="42">
        <v>400</v>
      </c>
      <c r="H18" s="42">
        <v>18</v>
      </c>
      <c r="I18" s="42">
        <v>320</v>
      </c>
      <c r="J18" s="42">
        <v>14</v>
      </c>
      <c r="K18" s="42">
        <v>700</v>
      </c>
      <c r="L18" s="42">
        <v>4700</v>
      </c>
      <c r="M18" s="42">
        <v>1.1000000000000001</v>
      </c>
      <c r="N18" s="42">
        <v>0</v>
      </c>
      <c r="O18" s="42">
        <v>1.1000000000000001</v>
      </c>
      <c r="P18" s="42">
        <v>2.4</v>
      </c>
      <c r="Q18" s="42">
        <v>1.3</v>
      </c>
      <c r="R18" s="42">
        <v>75</v>
      </c>
      <c r="S18" s="42">
        <v>15</v>
      </c>
      <c r="T18" s="42">
        <v>700</v>
      </c>
      <c r="U18" s="42">
        <v>8</v>
      </c>
      <c r="V18" s="42">
        <v>0</v>
      </c>
      <c r="W18" s="42">
        <v>0</v>
      </c>
      <c r="X18" s="42">
        <v>0</v>
      </c>
      <c r="Y18" s="42">
        <v>0</v>
      </c>
      <c r="Z18" s="42">
        <v>0</v>
      </c>
      <c r="AA18" s="42">
        <v>0</v>
      </c>
      <c r="AB18" s="42">
        <v>7</v>
      </c>
      <c r="AC18" s="42">
        <v>3</v>
      </c>
      <c r="AD18" s="42">
        <v>2</v>
      </c>
      <c r="AE18" s="42">
        <v>3</v>
      </c>
      <c r="AF18" s="42">
        <v>6</v>
      </c>
      <c r="AG18" s="42">
        <v>29</v>
      </c>
      <c r="AH18" s="42">
        <v>0</v>
      </c>
      <c r="AI18" s="42">
        <v>3.5</v>
      </c>
      <c r="AJ18" s="42">
        <v>0.42857142857142855</v>
      </c>
      <c r="AK18" s="42">
        <v>0.2857142857142857</v>
      </c>
      <c r="AL18" s="42">
        <v>0.42857142857142855</v>
      </c>
      <c r="AM18" s="42">
        <v>0.8571428571428571</v>
      </c>
      <c r="AN18" s="42">
        <v>1</v>
      </c>
      <c r="AO18" s="42">
        <v>1</v>
      </c>
      <c r="AP18" s="42">
        <v>0.05</v>
      </c>
      <c r="AQ18" s="53">
        <v>6.0000000000000001E-3</v>
      </c>
      <c r="AR18" s="42">
        <v>0.1</v>
      </c>
      <c r="AS18" s="42">
        <v>0.45</v>
      </c>
      <c r="AT18" s="42">
        <v>0.2</v>
      </c>
      <c r="AU18" s="42">
        <v>0</v>
      </c>
    </row>
    <row r="19" spans="1:47" x14ac:dyDescent="0.2">
      <c r="A19" s="333" t="s">
        <v>655</v>
      </c>
      <c r="B19" s="42">
        <v>1000</v>
      </c>
      <c r="C19" s="42">
        <v>0</v>
      </c>
      <c r="D19" s="42">
        <v>0.9</v>
      </c>
      <c r="E19" s="42">
        <v>2200</v>
      </c>
      <c r="F19" s="42">
        <v>30.8</v>
      </c>
      <c r="G19" s="42">
        <v>400</v>
      </c>
      <c r="H19" s="42">
        <v>18</v>
      </c>
      <c r="I19" s="42">
        <v>320</v>
      </c>
      <c r="J19" s="42">
        <v>14</v>
      </c>
      <c r="K19" s="42">
        <v>700</v>
      </c>
      <c r="L19" s="42">
        <v>4700</v>
      </c>
      <c r="M19" s="42">
        <v>1.1000000000000001</v>
      </c>
      <c r="N19" s="42">
        <v>0</v>
      </c>
      <c r="O19" s="42">
        <v>1.1000000000000001</v>
      </c>
      <c r="P19" s="42">
        <v>2.4</v>
      </c>
      <c r="Q19" s="42">
        <v>1.3</v>
      </c>
      <c r="R19" s="42">
        <v>75</v>
      </c>
      <c r="S19" s="42">
        <v>15</v>
      </c>
      <c r="T19" s="42">
        <v>700</v>
      </c>
      <c r="U19" s="42">
        <v>8</v>
      </c>
      <c r="V19" s="42">
        <v>0</v>
      </c>
      <c r="W19" s="42">
        <v>0</v>
      </c>
      <c r="X19" s="42">
        <v>0</v>
      </c>
      <c r="Y19" s="42">
        <v>0</v>
      </c>
      <c r="Z19" s="42">
        <v>0</v>
      </c>
      <c r="AA19" s="42">
        <v>0</v>
      </c>
      <c r="AB19" s="42">
        <v>7</v>
      </c>
      <c r="AC19" s="42">
        <v>3</v>
      </c>
      <c r="AD19" s="42">
        <v>2</v>
      </c>
      <c r="AE19" s="42">
        <v>3</v>
      </c>
      <c r="AF19" s="42">
        <v>6</v>
      </c>
      <c r="AG19" s="42">
        <v>29</v>
      </c>
      <c r="AH19" s="42">
        <v>0</v>
      </c>
      <c r="AI19" s="42">
        <v>3.5</v>
      </c>
      <c r="AJ19" s="42">
        <v>0.42857142857142855</v>
      </c>
      <c r="AK19" s="42">
        <v>0.2857142857142857</v>
      </c>
      <c r="AL19" s="42">
        <v>0.42857142857142855</v>
      </c>
      <c r="AM19" s="42">
        <v>0.8571428571428571</v>
      </c>
      <c r="AN19" s="42">
        <v>1</v>
      </c>
      <c r="AO19" s="42">
        <v>1</v>
      </c>
      <c r="AP19" s="42">
        <v>0.05</v>
      </c>
      <c r="AQ19" s="53">
        <v>6.0000000000000001E-3</v>
      </c>
      <c r="AR19" s="42">
        <v>0.1</v>
      </c>
      <c r="AS19" s="42">
        <v>0.45</v>
      </c>
      <c r="AT19" s="42">
        <v>0.2</v>
      </c>
      <c r="AU19" s="42">
        <v>0</v>
      </c>
    </row>
    <row r="20" spans="1:47" x14ac:dyDescent="0.2">
      <c r="A20" t="s">
        <v>231</v>
      </c>
      <c r="B20" s="42">
        <v>1200</v>
      </c>
      <c r="C20" s="42">
        <v>0</v>
      </c>
      <c r="D20" s="42">
        <v>0.9</v>
      </c>
      <c r="E20" s="42">
        <v>2200</v>
      </c>
      <c r="F20" s="42">
        <v>30.8</v>
      </c>
      <c r="G20" s="42">
        <v>400</v>
      </c>
      <c r="H20" s="42">
        <v>8</v>
      </c>
      <c r="I20" s="42">
        <v>320</v>
      </c>
      <c r="J20" s="42">
        <v>14</v>
      </c>
      <c r="K20" s="42">
        <v>700</v>
      </c>
      <c r="L20" s="42">
        <v>4700</v>
      </c>
      <c r="M20" s="42">
        <v>1.1000000000000001</v>
      </c>
      <c r="N20" s="42">
        <v>0</v>
      </c>
      <c r="O20" s="42">
        <v>1.1000000000000001</v>
      </c>
      <c r="P20" s="42">
        <v>2.4</v>
      </c>
      <c r="Q20" s="42">
        <v>1.5</v>
      </c>
      <c r="R20" s="42">
        <v>75</v>
      </c>
      <c r="S20" s="42">
        <v>15</v>
      </c>
      <c r="T20" s="42">
        <v>700</v>
      </c>
      <c r="U20" s="42">
        <v>8</v>
      </c>
      <c r="V20" s="42">
        <v>0</v>
      </c>
      <c r="W20" s="42">
        <v>0</v>
      </c>
      <c r="X20" s="42">
        <v>0</v>
      </c>
      <c r="Y20" s="42">
        <v>0</v>
      </c>
      <c r="Z20" s="42">
        <v>0</v>
      </c>
      <c r="AA20" s="42">
        <v>0</v>
      </c>
      <c r="AB20" s="42">
        <v>7</v>
      </c>
      <c r="AC20" s="42">
        <v>3</v>
      </c>
      <c r="AD20" s="42">
        <v>2</v>
      </c>
      <c r="AE20" s="42">
        <v>3</v>
      </c>
      <c r="AF20" s="42">
        <v>6</v>
      </c>
      <c r="AG20" s="42">
        <v>29</v>
      </c>
      <c r="AH20" s="42">
        <v>0</v>
      </c>
      <c r="AI20" s="42">
        <v>3.5</v>
      </c>
      <c r="AJ20" s="42">
        <v>0.42857142857142855</v>
      </c>
      <c r="AK20" s="42">
        <v>0.2857142857142857</v>
      </c>
      <c r="AL20" s="42">
        <v>0.42857142857142855</v>
      </c>
      <c r="AM20" s="42">
        <v>0.8571428571428571</v>
      </c>
      <c r="AN20" s="42">
        <v>1</v>
      </c>
      <c r="AO20" s="42">
        <v>1</v>
      </c>
      <c r="AP20" s="42">
        <v>0.05</v>
      </c>
      <c r="AQ20" s="53">
        <v>6.0000000000000001E-3</v>
      </c>
      <c r="AR20" s="42">
        <v>0.1</v>
      </c>
      <c r="AS20" s="42">
        <v>0.45</v>
      </c>
      <c r="AT20" s="42">
        <v>0.2</v>
      </c>
      <c r="AU20" s="42">
        <v>0</v>
      </c>
    </row>
    <row r="21" spans="1:47" x14ac:dyDescent="0.2">
      <c r="A21" t="s">
        <v>109</v>
      </c>
      <c r="B21" s="42">
        <v>1200</v>
      </c>
      <c r="C21" s="42">
        <v>0</v>
      </c>
      <c r="D21" s="42">
        <v>0.9</v>
      </c>
      <c r="E21" s="42">
        <v>1800</v>
      </c>
      <c r="F21" s="42">
        <v>25.2</v>
      </c>
      <c r="G21" s="42">
        <v>400</v>
      </c>
      <c r="H21" s="42">
        <v>8</v>
      </c>
      <c r="I21" s="42">
        <v>320</v>
      </c>
      <c r="J21" s="42">
        <v>14</v>
      </c>
      <c r="K21" s="42">
        <v>700</v>
      </c>
      <c r="L21" s="42">
        <v>4700</v>
      </c>
      <c r="M21" s="42">
        <v>1.1000000000000001</v>
      </c>
      <c r="N21" s="42">
        <v>0</v>
      </c>
      <c r="O21" s="42">
        <v>1.1000000000000001</v>
      </c>
      <c r="P21" s="42">
        <v>2.4</v>
      </c>
      <c r="Q21" s="42">
        <v>1.5</v>
      </c>
      <c r="R21" s="42">
        <v>75</v>
      </c>
      <c r="S21" s="42">
        <v>15</v>
      </c>
      <c r="T21" s="42">
        <v>700</v>
      </c>
      <c r="U21" s="42">
        <v>8</v>
      </c>
      <c r="V21" s="42">
        <v>0</v>
      </c>
      <c r="W21" s="42">
        <v>0</v>
      </c>
      <c r="X21" s="42">
        <v>0</v>
      </c>
      <c r="Y21" s="42">
        <v>0</v>
      </c>
      <c r="Z21" s="42">
        <v>0</v>
      </c>
      <c r="AA21" s="42">
        <v>0</v>
      </c>
      <c r="AB21" s="42">
        <v>6</v>
      </c>
      <c r="AC21" s="42">
        <v>2.5</v>
      </c>
      <c r="AD21" s="42">
        <v>1.5</v>
      </c>
      <c r="AE21" s="42">
        <v>3</v>
      </c>
      <c r="AF21" s="42">
        <v>5</v>
      </c>
      <c r="AG21" s="42">
        <v>24</v>
      </c>
      <c r="AH21" s="42">
        <v>0</v>
      </c>
      <c r="AI21" s="42">
        <v>3</v>
      </c>
      <c r="AJ21" s="42">
        <v>0.42857142857142855</v>
      </c>
      <c r="AK21" s="42">
        <v>0.2857142857142857</v>
      </c>
      <c r="AL21" s="42">
        <v>0.42857142857142855</v>
      </c>
      <c r="AM21" s="42">
        <v>0.42857142857142855</v>
      </c>
      <c r="AN21" s="42">
        <v>0.9285714285714286</v>
      </c>
      <c r="AO21" s="42">
        <v>0.75</v>
      </c>
      <c r="AP21" s="42">
        <v>0.05</v>
      </c>
      <c r="AQ21" s="53">
        <v>6.0000000000000001E-3</v>
      </c>
      <c r="AR21" s="42">
        <v>0.1</v>
      </c>
      <c r="AS21" s="42">
        <v>0.45</v>
      </c>
      <c r="AT21" s="42">
        <v>0.2</v>
      </c>
      <c r="AU21" s="42">
        <v>0</v>
      </c>
    </row>
  </sheetData>
  <mergeCells count="1">
    <mergeCell ref="AQ3:AV3"/>
  </mergeCells>
  <phoneticPr fontId="0" type="noConversion"/>
  <pageMargins left="0.75" right="0.75" top="1" bottom="1" header="0.5" footer="0.5"/>
  <pageSetup scale="87" fitToWidth="2" orientation="landscape"/>
  <headerFooter alignWithMargins="0"/>
  <colBreaks count="1" manualBreakCount="1">
    <brk id="10" max="3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D21"/>
  <sheetViews>
    <sheetView zoomScaleNormal="100" zoomScaleSheetLayoutView="100" workbookViewId="0">
      <pane xSplit="1" ySplit="4" topLeftCell="B5" activePane="bottomRight" state="frozen"/>
      <selection sqref="A1:U1"/>
      <selection pane="topRight" sqref="A1:U1"/>
      <selection pane="bottomLeft" sqref="A1:U1"/>
      <selection pane="bottomRight" activeCell="A20" sqref="A20"/>
    </sheetView>
  </sheetViews>
  <sheetFormatPr defaultRowHeight="12.75" x14ac:dyDescent="0.2"/>
  <cols>
    <col min="1" max="1" width="16.28515625" style="44" customWidth="1"/>
    <col min="2" max="2" width="14.42578125" style="44" customWidth="1"/>
    <col min="3" max="4" width="12.7109375" style="44" customWidth="1"/>
    <col min="5" max="6" width="9.28515625" style="44" bestFit="1" customWidth="1"/>
    <col min="7" max="7" width="10.28515625" style="44" bestFit="1" customWidth="1"/>
    <col min="8" max="9" width="12.7109375" style="44" customWidth="1"/>
    <col min="10" max="10" width="12.42578125" style="44" customWidth="1"/>
    <col min="11" max="12" width="12.7109375" style="44" customWidth="1"/>
    <col min="13" max="13" width="11.7109375" style="44" customWidth="1"/>
    <col min="14" max="14" width="12.7109375" style="44" customWidth="1"/>
    <col min="15" max="15" width="11.140625" style="44" customWidth="1"/>
    <col min="16" max="16" width="10.7109375" style="44" customWidth="1"/>
    <col min="17" max="18" width="13.7109375" style="44" bestFit="1" customWidth="1"/>
    <col min="19" max="19" width="10.85546875" style="44" customWidth="1"/>
    <col min="20" max="21" width="9.140625" style="44" customWidth="1"/>
    <col min="22" max="22" width="12.140625" style="44" customWidth="1"/>
    <col min="23" max="23" width="12" style="44" customWidth="1"/>
    <col min="24" max="24" width="11.7109375" style="44" customWidth="1"/>
    <col min="25" max="25" width="13.28515625" style="44" customWidth="1"/>
    <col min="26" max="26" width="13.42578125" style="44" customWidth="1"/>
    <col min="27" max="27" width="12.28515625" style="44" customWidth="1"/>
    <col min="28" max="28" width="13.28515625" style="44" customWidth="1"/>
    <col min="29" max="29" width="11.7109375" style="44" customWidth="1"/>
    <col min="30" max="30" width="12.42578125" style="44" customWidth="1"/>
    <col min="31" max="31" width="9.140625" style="44" customWidth="1"/>
    <col min="32" max="32" width="12.85546875" style="44" customWidth="1"/>
    <col min="33" max="33" width="11.28515625" style="44" customWidth="1"/>
    <col min="34" max="34" width="13.7109375" style="44" customWidth="1"/>
    <col min="35" max="35" width="11.85546875" style="44" customWidth="1"/>
    <col min="36" max="36" width="11" style="44" customWidth="1"/>
    <col min="37" max="37" width="11.42578125" style="44" customWidth="1"/>
    <col min="38" max="38" width="12.42578125" style="44" customWidth="1"/>
    <col min="39" max="39" width="11.85546875" style="44" customWidth="1"/>
    <col min="40" max="40" width="10.7109375" style="44" customWidth="1"/>
    <col min="41" max="41" width="11.42578125" style="44" customWidth="1"/>
    <col min="42" max="42" width="11.140625" style="44" customWidth="1"/>
    <col min="43" max="44" width="9.140625" style="44" customWidth="1"/>
    <col min="45" max="45" width="14" style="44" customWidth="1"/>
    <col min="46" max="48" width="9.140625" style="44" customWidth="1"/>
    <col min="49" max="49" width="10" style="44" customWidth="1"/>
    <col min="50" max="16384" width="9.140625" style="44"/>
  </cols>
  <sheetData>
    <row r="1" spans="1:56" s="43" customFormat="1" ht="15.75" x14ac:dyDescent="0.25">
      <c r="A1" s="45" t="s">
        <v>569</v>
      </c>
      <c r="B1" s="45"/>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row>
    <row r="2" spans="1:56" s="41" customFormat="1" x14ac:dyDescent="0.2">
      <c r="C2" s="42"/>
      <c r="D2" s="42"/>
      <c r="E2" s="42"/>
      <c r="F2" s="42"/>
      <c r="G2" s="42"/>
      <c r="H2" s="42"/>
      <c r="I2" s="42"/>
      <c r="J2" s="42"/>
      <c r="K2" s="42"/>
      <c r="L2" s="42"/>
      <c r="M2" s="42"/>
      <c r="N2" s="42"/>
      <c r="O2" s="42"/>
      <c r="P2" s="42"/>
    </row>
    <row r="3" spans="1:56" s="41" customFormat="1" x14ac:dyDescent="0.2">
      <c r="C3" s="77"/>
      <c r="D3" s="96"/>
      <c r="E3" s="96"/>
      <c r="F3" s="96"/>
      <c r="G3" s="96"/>
      <c r="H3" s="96"/>
      <c r="I3" s="96"/>
      <c r="J3" s="96"/>
      <c r="K3" s="96"/>
      <c r="L3" s="96"/>
      <c r="M3" s="96"/>
      <c r="N3" s="96"/>
      <c r="O3" s="96"/>
      <c r="P3" s="96"/>
      <c r="Q3" s="96"/>
      <c r="R3" s="96"/>
      <c r="S3" s="96"/>
      <c r="T3" s="96"/>
      <c r="U3" s="96"/>
      <c r="V3" s="96"/>
      <c r="W3" s="96"/>
      <c r="X3" s="96"/>
      <c r="Y3" s="77"/>
      <c r="Z3" s="77"/>
      <c r="AA3" s="77"/>
      <c r="AB3" s="77"/>
      <c r="AC3" s="96"/>
      <c r="AD3" s="96"/>
      <c r="AE3" s="96"/>
      <c r="AF3" s="96"/>
      <c r="AG3" s="96"/>
      <c r="AH3" s="96"/>
      <c r="AI3" s="97"/>
      <c r="AJ3" s="96"/>
      <c r="AK3" s="96"/>
      <c r="AL3" s="96"/>
      <c r="AM3" s="96"/>
      <c r="AN3" s="97"/>
      <c r="AO3" s="97"/>
      <c r="AP3" s="96"/>
      <c r="AQ3" s="487" t="s">
        <v>501</v>
      </c>
      <c r="AR3" s="487"/>
      <c r="AS3" s="487"/>
      <c r="AT3" s="487"/>
      <c r="AU3" s="487"/>
      <c r="AV3" s="487"/>
    </row>
    <row r="4" spans="1:56" ht="38.25" x14ac:dyDescent="0.2">
      <c r="A4" s="46" t="s">
        <v>369</v>
      </c>
      <c r="B4" s="77" t="s">
        <v>437</v>
      </c>
      <c r="C4" s="96" t="s">
        <v>438</v>
      </c>
      <c r="D4" s="96" t="s">
        <v>439</v>
      </c>
      <c r="E4" s="96" t="s">
        <v>288</v>
      </c>
      <c r="F4" s="96" t="s">
        <v>308</v>
      </c>
      <c r="G4" s="96" t="s">
        <v>309</v>
      </c>
      <c r="H4" s="96" t="s">
        <v>310</v>
      </c>
      <c r="I4" s="96" t="s">
        <v>271</v>
      </c>
      <c r="J4" s="96" t="s">
        <v>272</v>
      </c>
      <c r="K4" s="96" t="s">
        <v>273</v>
      </c>
      <c r="L4" s="96" t="s">
        <v>274</v>
      </c>
      <c r="M4" s="96" t="s">
        <v>275</v>
      </c>
      <c r="N4" s="96" t="s">
        <v>276</v>
      </c>
      <c r="O4" s="96" t="s">
        <v>277</v>
      </c>
      <c r="P4" s="96" t="s">
        <v>278</v>
      </c>
      <c r="Q4" s="96" t="s">
        <v>279</v>
      </c>
      <c r="R4" s="96" t="s">
        <v>317</v>
      </c>
      <c r="S4" s="96" t="s">
        <v>318</v>
      </c>
      <c r="T4" s="96" t="s">
        <v>319</v>
      </c>
      <c r="U4" s="96" t="s">
        <v>320</v>
      </c>
      <c r="V4" s="96" t="s">
        <v>321</v>
      </c>
      <c r="W4" s="96" t="s">
        <v>328</v>
      </c>
      <c r="X4" s="77" t="s">
        <v>433</v>
      </c>
      <c r="Y4" s="77" t="s">
        <v>434</v>
      </c>
      <c r="Z4" s="77" t="s">
        <v>307</v>
      </c>
      <c r="AA4" s="77" t="s">
        <v>436</v>
      </c>
      <c r="AB4" s="96" t="s">
        <v>426</v>
      </c>
      <c r="AC4" s="96" t="s">
        <v>427</v>
      </c>
      <c r="AD4" s="96" t="s">
        <v>428</v>
      </c>
      <c r="AE4" s="96" t="s">
        <v>510</v>
      </c>
      <c r="AF4" s="96" t="s">
        <v>511</v>
      </c>
      <c r="AG4" s="96" t="s">
        <v>164</v>
      </c>
      <c r="AH4" s="97" t="s">
        <v>114</v>
      </c>
      <c r="AI4" s="96" t="s">
        <v>165</v>
      </c>
      <c r="AJ4" s="96" t="s">
        <v>540</v>
      </c>
      <c r="AK4" s="96" t="s">
        <v>541</v>
      </c>
      <c r="AL4" s="96" t="s">
        <v>624</v>
      </c>
      <c r="AM4" s="97" t="s">
        <v>235</v>
      </c>
      <c r="AN4" s="97" t="s">
        <v>236</v>
      </c>
      <c r="AO4" s="96" t="s">
        <v>544</v>
      </c>
      <c r="AP4" s="107" t="s">
        <v>386</v>
      </c>
      <c r="AQ4" s="107" t="s">
        <v>532</v>
      </c>
      <c r="AR4" s="107" t="s">
        <v>533</v>
      </c>
      <c r="AS4" s="107" t="s">
        <v>534</v>
      </c>
      <c r="AT4" s="107" t="s">
        <v>311</v>
      </c>
      <c r="AU4" s="107" t="s">
        <v>393</v>
      </c>
      <c r="AW4" s="44" t="s">
        <v>358</v>
      </c>
    </row>
    <row r="5" spans="1:56" x14ac:dyDescent="0.2">
      <c r="A5" t="s">
        <v>397</v>
      </c>
      <c r="B5" s="47">
        <v>2500</v>
      </c>
      <c r="C5" s="47">
        <v>299.99</v>
      </c>
      <c r="D5" s="47">
        <v>1</v>
      </c>
      <c r="E5" s="48">
        <v>1000</v>
      </c>
      <c r="F5" s="49">
        <v>10000000000</v>
      </c>
      <c r="G5" s="47">
        <v>300</v>
      </c>
      <c r="H5" s="47">
        <v>40</v>
      </c>
      <c r="I5" s="49">
        <v>10000000000</v>
      </c>
      <c r="J5" s="47">
        <v>10</v>
      </c>
      <c r="K5" s="47">
        <v>3000</v>
      </c>
      <c r="L5" s="49">
        <v>10000000000</v>
      </c>
      <c r="M5" s="49">
        <v>10000000000</v>
      </c>
      <c r="N5" s="47">
        <v>1830</v>
      </c>
      <c r="O5" s="49">
        <v>10000000000</v>
      </c>
      <c r="P5" s="49">
        <v>10000000000</v>
      </c>
      <c r="Q5" s="47">
        <v>30</v>
      </c>
      <c r="R5" s="47">
        <v>400</v>
      </c>
      <c r="S5" s="47">
        <v>200</v>
      </c>
      <c r="T5" s="47">
        <v>600</v>
      </c>
      <c r="U5" s="47">
        <v>7</v>
      </c>
      <c r="V5" s="50">
        <v>10000000000</v>
      </c>
      <c r="W5" s="50">
        <v>10000000000</v>
      </c>
      <c r="X5" s="50">
        <v>10000000000</v>
      </c>
      <c r="Y5" s="50">
        <v>10000000000</v>
      </c>
      <c r="Z5" s="50">
        <v>10000000000</v>
      </c>
      <c r="AA5" s="50">
        <v>10000000000</v>
      </c>
      <c r="AB5" s="49">
        <v>10000000000</v>
      </c>
      <c r="AC5" s="49">
        <v>10000000000</v>
      </c>
      <c r="AD5" s="49">
        <v>10000000000</v>
      </c>
      <c r="AE5" s="49">
        <v>10000000000</v>
      </c>
      <c r="AF5" s="49">
        <v>10000000000</v>
      </c>
      <c r="AG5" s="49">
        <v>10000000000</v>
      </c>
      <c r="AH5" s="47">
        <v>165</v>
      </c>
      <c r="AI5" s="49">
        <v>10000000000</v>
      </c>
      <c r="AJ5" s="49">
        <v>10000000000</v>
      </c>
      <c r="AK5" s="49">
        <v>10000000000</v>
      </c>
      <c r="AL5" s="49">
        <v>10000000000</v>
      </c>
      <c r="AM5" s="49">
        <v>10000000000</v>
      </c>
      <c r="AN5" s="49">
        <v>10000000000</v>
      </c>
      <c r="AO5" s="49">
        <v>10000000000</v>
      </c>
      <c r="AP5" s="42">
        <v>0.1</v>
      </c>
      <c r="AQ5" s="53">
        <v>1.2E-2</v>
      </c>
      <c r="AR5" s="42">
        <v>0.2</v>
      </c>
      <c r="AS5" s="42">
        <v>0.65</v>
      </c>
      <c r="AT5" s="42">
        <v>0.4</v>
      </c>
      <c r="AU5" s="42">
        <v>0.1</v>
      </c>
      <c r="AW5" s="44">
        <v>1500</v>
      </c>
    </row>
    <row r="6" spans="1:56" x14ac:dyDescent="0.2">
      <c r="A6" t="s">
        <v>401</v>
      </c>
      <c r="B6" s="47">
        <v>2500</v>
      </c>
      <c r="C6" s="47">
        <v>299.99</v>
      </c>
      <c r="D6" s="47">
        <v>1</v>
      </c>
      <c r="E6" s="48">
        <v>1200</v>
      </c>
      <c r="F6" s="49">
        <v>10000000000</v>
      </c>
      <c r="G6" s="47">
        <v>300</v>
      </c>
      <c r="H6" s="47">
        <v>40</v>
      </c>
      <c r="I6" s="49">
        <v>10000000000</v>
      </c>
      <c r="J6" s="47">
        <v>10</v>
      </c>
      <c r="K6" s="47">
        <v>3000</v>
      </c>
      <c r="L6" s="49">
        <v>10000000000</v>
      </c>
      <c r="M6" s="49">
        <v>10000000000</v>
      </c>
      <c r="N6" s="47">
        <v>2286</v>
      </c>
      <c r="O6" s="49">
        <v>10000000000</v>
      </c>
      <c r="P6" s="49">
        <v>10000000000</v>
      </c>
      <c r="Q6" s="47">
        <v>30</v>
      </c>
      <c r="R6" s="47">
        <v>400</v>
      </c>
      <c r="S6" s="47">
        <v>200</v>
      </c>
      <c r="T6" s="47">
        <v>600</v>
      </c>
      <c r="U6" s="47">
        <v>7</v>
      </c>
      <c r="V6" s="50">
        <v>10000000000</v>
      </c>
      <c r="W6" s="50">
        <v>10000000000</v>
      </c>
      <c r="X6" s="50">
        <v>10000000000</v>
      </c>
      <c r="Y6" s="50">
        <v>10000000000</v>
      </c>
      <c r="Z6" s="50">
        <v>10000000000</v>
      </c>
      <c r="AA6" s="50">
        <v>10000000000</v>
      </c>
      <c r="AB6" s="49">
        <v>10000000000</v>
      </c>
      <c r="AC6" s="49">
        <v>10000000000</v>
      </c>
      <c r="AD6" s="49">
        <v>10000000000</v>
      </c>
      <c r="AE6" s="49">
        <v>10000000000</v>
      </c>
      <c r="AF6" s="49">
        <v>10000000000</v>
      </c>
      <c r="AG6" s="49">
        <v>10000000000</v>
      </c>
      <c r="AH6" s="47">
        <v>171</v>
      </c>
      <c r="AI6" s="49">
        <v>10000000000</v>
      </c>
      <c r="AJ6" s="49">
        <v>10000000000</v>
      </c>
      <c r="AK6" s="49">
        <v>10000000000</v>
      </c>
      <c r="AL6" s="49">
        <v>10000000000</v>
      </c>
      <c r="AM6" s="49">
        <v>10000000000</v>
      </c>
      <c r="AN6" s="49">
        <v>10000000000</v>
      </c>
      <c r="AO6" s="49">
        <v>10000000000</v>
      </c>
      <c r="AP6" s="42">
        <v>0.1</v>
      </c>
      <c r="AQ6" s="53">
        <v>1.2E-2</v>
      </c>
      <c r="AR6" s="42">
        <v>0.2</v>
      </c>
      <c r="AS6" s="42">
        <v>0.65</v>
      </c>
      <c r="AT6" s="42">
        <v>0.4</v>
      </c>
      <c r="AU6" s="42">
        <v>0.1</v>
      </c>
      <c r="AW6" s="44">
        <v>1500</v>
      </c>
    </row>
    <row r="7" spans="1:56" x14ac:dyDescent="0.2">
      <c r="A7" t="s">
        <v>398</v>
      </c>
      <c r="B7" s="47">
        <v>2500</v>
      </c>
      <c r="C7" s="47">
        <v>299.99</v>
      </c>
      <c r="D7" s="47">
        <v>3</v>
      </c>
      <c r="E7" s="48">
        <v>1400</v>
      </c>
      <c r="F7" s="49">
        <v>10000000000</v>
      </c>
      <c r="G7" s="47">
        <v>400</v>
      </c>
      <c r="H7" s="47">
        <v>40</v>
      </c>
      <c r="I7" s="49">
        <v>10000000000</v>
      </c>
      <c r="J7" s="47">
        <v>15</v>
      </c>
      <c r="K7" s="47">
        <v>3000</v>
      </c>
      <c r="L7" s="49">
        <v>10000000000</v>
      </c>
      <c r="M7" s="49">
        <v>10000000000</v>
      </c>
      <c r="N7" s="47">
        <v>2655</v>
      </c>
      <c r="O7" s="49">
        <v>10000000000</v>
      </c>
      <c r="P7" s="49">
        <v>10000000000</v>
      </c>
      <c r="Q7" s="47">
        <v>40</v>
      </c>
      <c r="R7" s="47">
        <v>650</v>
      </c>
      <c r="S7" s="47">
        <v>300</v>
      </c>
      <c r="T7" s="47">
        <v>900</v>
      </c>
      <c r="U7" s="47">
        <v>12</v>
      </c>
      <c r="V7" s="50">
        <v>10000000000</v>
      </c>
      <c r="W7" s="50">
        <v>10000000000</v>
      </c>
      <c r="X7" s="50">
        <v>10000000000</v>
      </c>
      <c r="Y7" s="50">
        <v>10000000000</v>
      </c>
      <c r="Z7" s="50">
        <v>10000000000</v>
      </c>
      <c r="AA7" s="50">
        <v>10000000000</v>
      </c>
      <c r="AB7" s="49">
        <v>10000000000</v>
      </c>
      <c r="AC7" s="49">
        <v>10000000000</v>
      </c>
      <c r="AD7" s="49">
        <v>10000000000</v>
      </c>
      <c r="AE7" s="49">
        <v>10000000000</v>
      </c>
      <c r="AF7" s="49">
        <v>10000000000</v>
      </c>
      <c r="AG7" s="49">
        <v>10000000000</v>
      </c>
      <c r="AH7" s="47">
        <v>171</v>
      </c>
      <c r="AI7" s="49">
        <v>10000000000</v>
      </c>
      <c r="AJ7" s="49">
        <v>10000000000</v>
      </c>
      <c r="AK7" s="49">
        <v>10000000000</v>
      </c>
      <c r="AL7" s="49">
        <v>10000000000</v>
      </c>
      <c r="AM7" s="49">
        <v>10000000000</v>
      </c>
      <c r="AN7" s="49">
        <v>10000000000</v>
      </c>
      <c r="AO7" s="49">
        <v>10000000000</v>
      </c>
      <c r="AP7" s="42">
        <v>0.1</v>
      </c>
      <c r="AQ7" s="53">
        <v>1.2E-2</v>
      </c>
      <c r="AR7" s="42">
        <v>0.3</v>
      </c>
      <c r="AS7" s="42">
        <v>0.65</v>
      </c>
      <c r="AT7" s="42">
        <v>0.35</v>
      </c>
      <c r="AU7" s="42">
        <v>0.1</v>
      </c>
      <c r="AW7" s="44">
        <v>1900</v>
      </c>
    </row>
    <row r="8" spans="1:56" x14ac:dyDescent="0.2">
      <c r="A8" t="s">
        <v>399</v>
      </c>
      <c r="B8" s="47">
        <v>2500</v>
      </c>
      <c r="C8" s="47">
        <v>299.99</v>
      </c>
      <c r="D8" s="47">
        <v>3</v>
      </c>
      <c r="E8" s="48">
        <v>1600</v>
      </c>
      <c r="F8" s="49">
        <v>10000000000</v>
      </c>
      <c r="G8" s="47">
        <v>400</v>
      </c>
      <c r="H8" s="47">
        <v>40</v>
      </c>
      <c r="I8" s="49">
        <v>10000000000</v>
      </c>
      <c r="J8" s="47">
        <v>15</v>
      </c>
      <c r="K8" s="47">
        <v>3000</v>
      </c>
      <c r="L8" s="49">
        <v>10000000000</v>
      </c>
      <c r="M8" s="49">
        <v>10000000000</v>
      </c>
      <c r="N8" s="47">
        <v>2593</v>
      </c>
      <c r="O8" s="49">
        <v>10000000000</v>
      </c>
      <c r="P8" s="49">
        <v>10000000000</v>
      </c>
      <c r="Q8" s="47">
        <v>40</v>
      </c>
      <c r="R8" s="47">
        <v>650</v>
      </c>
      <c r="S8" s="47">
        <v>300</v>
      </c>
      <c r="T8" s="47">
        <v>900</v>
      </c>
      <c r="U8" s="47">
        <v>12</v>
      </c>
      <c r="V8" s="50">
        <v>10000000000</v>
      </c>
      <c r="W8" s="50">
        <v>10000000000</v>
      </c>
      <c r="X8" s="50">
        <v>10000000000</v>
      </c>
      <c r="Y8" s="50">
        <v>10000000000</v>
      </c>
      <c r="Z8" s="50">
        <v>10000000000</v>
      </c>
      <c r="AA8" s="50">
        <v>10000000000</v>
      </c>
      <c r="AB8" s="49">
        <v>10000000000</v>
      </c>
      <c r="AC8" s="49">
        <v>10000000000</v>
      </c>
      <c r="AD8" s="49">
        <v>10000000000</v>
      </c>
      <c r="AE8" s="49">
        <v>10000000000</v>
      </c>
      <c r="AF8" s="49">
        <v>10000000000</v>
      </c>
      <c r="AG8" s="49">
        <v>10000000000</v>
      </c>
      <c r="AH8" s="47">
        <v>132</v>
      </c>
      <c r="AI8" s="49">
        <v>10000000000</v>
      </c>
      <c r="AJ8" s="49">
        <v>10000000000</v>
      </c>
      <c r="AK8" s="49">
        <v>10000000000</v>
      </c>
      <c r="AL8" s="49">
        <v>10000000000</v>
      </c>
      <c r="AM8" s="49">
        <v>10000000000</v>
      </c>
      <c r="AN8" s="49">
        <v>10000000000</v>
      </c>
      <c r="AO8" s="49">
        <v>10000000000</v>
      </c>
      <c r="AP8" s="42">
        <v>0.1</v>
      </c>
      <c r="AQ8" s="53">
        <v>1.2E-2</v>
      </c>
      <c r="AR8" s="42">
        <v>0.3</v>
      </c>
      <c r="AS8" s="42">
        <v>0.65</v>
      </c>
      <c r="AT8" s="42">
        <v>0.35</v>
      </c>
      <c r="AU8" s="42">
        <v>0.1</v>
      </c>
      <c r="AW8" s="44">
        <v>1900</v>
      </c>
    </row>
    <row r="9" spans="1:56" x14ac:dyDescent="0.2">
      <c r="A9" t="s">
        <v>405</v>
      </c>
      <c r="B9" s="47">
        <v>2500</v>
      </c>
      <c r="C9" s="47">
        <v>299.99</v>
      </c>
      <c r="D9" s="47">
        <v>5</v>
      </c>
      <c r="E9" s="48">
        <v>2000</v>
      </c>
      <c r="F9" s="49">
        <v>10000000000</v>
      </c>
      <c r="G9" s="47">
        <v>600</v>
      </c>
      <c r="H9" s="47">
        <v>40</v>
      </c>
      <c r="I9" s="49">
        <v>10000000000</v>
      </c>
      <c r="J9" s="47">
        <v>20</v>
      </c>
      <c r="K9" s="47">
        <v>4000</v>
      </c>
      <c r="L9" s="49">
        <v>10000000000</v>
      </c>
      <c r="M9" s="49">
        <v>10000000000</v>
      </c>
      <c r="N9" s="47">
        <v>3122</v>
      </c>
      <c r="O9" s="49">
        <v>10000000000</v>
      </c>
      <c r="P9" s="49">
        <v>10000000000</v>
      </c>
      <c r="Q9" s="47">
        <v>60</v>
      </c>
      <c r="R9" s="47">
        <v>1200</v>
      </c>
      <c r="S9" s="47">
        <v>600</v>
      </c>
      <c r="T9" s="47">
        <v>1700</v>
      </c>
      <c r="U9" s="47">
        <v>23</v>
      </c>
      <c r="V9" s="50">
        <v>10000000000</v>
      </c>
      <c r="W9" s="50">
        <v>10000000000</v>
      </c>
      <c r="X9" s="50">
        <v>10000000000</v>
      </c>
      <c r="Y9" s="50">
        <v>10000000000</v>
      </c>
      <c r="Z9" s="50">
        <v>10000000000</v>
      </c>
      <c r="AA9" s="50">
        <v>10000000000</v>
      </c>
      <c r="AB9" s="49">
        <v>10000000000</v>
      </c>
      <c r="AC9" s="49">
        <v>10000000000</v>
      </c>
      <c r="AD9" s="49">
        <v>10000000000</v>
      </c>
      <c r="AE9" s="49">
        <v>10000000000</v>
      </c>
      <c r="AF9" s="49">
        <v>10000000000</v>
      </c>
      <c r="AG9" s="49">
        <v>10000000000</v>
      </c>
      <c r="AH9" s="47">
        <v>267</v>
      </c>
      <c r="AI9" s="49">
        <v>10000000000</v>
      </c>
      <c r="AJ9" s="49">
        <v>10000000000</v>
      </c>
      <c r="AK9" s="49">
        <v>10000000000</v>
      </c>
      <c r="AL9" s="49">
        <v>10000000000</v>
      </c>
      <c r="AM9" s="49">
        <v>10000000000</v>
      </c>
      <c r="AN9" s="49">
        <v>10000000000</v>
      </c>
      <c r="AO9" s="49">
        <v>10000000000</v>
      </c>
      <c r="AP9" s="42">
        <v>0.1</v>
      </c>
      <c r="AQ9" s="53">
        <v>1.2E-2</v>
      </c>
      <c r="AR9" s="42">
        <v>0.3</v>
      </c>
      <c r="AS9" s="42">
        <v>0.65</v>
      </c>
      <c r="AT9" s="42">
        <v>0.35</v>
      </c>
      <c r="AU9" s="42">
        <v>0.1</v>
      </c>
      <c r="AW9" s="44">
        <v>2200</v>
      </c>
    </row>
    <row r="10" spans="1:56" x14ac:dyDescent="0.2">
      <c r="A10" t="s">
        <v>402</v>
      </c>
      <c r="B10" s="47">
        <v>2500</v>
      </c>
      <c r="C10" s="47">
        <v>299.99</v>
      </c>
      <c r="D10" s="47">
        <v>5</v>
      </c>
      <c r="E10" s="48">
        <v>2400</v>
      </c>
      <c r="F10" s="49">
        <v>10000000000</v>
      </c>
      <c r="G10" s="47">
        <v>600</v>
      </c>
      <c r="H10" s="47">
        <v>40</v>
      </c>
      <c r="I10" s="49">
        <v>10000000000</v>
      </c>
      <c r="J10" s="47">
        <v>20</v>
      </c>
      <c r="K10" s="47">
        <v>4000</v>
      </c>
      <c r="L10" s="49">
        <v>10000000000</v>
      </c>
      <c r="M10" s="49">
        <v>10000000000</v>
      </c>
      <c r="N10" s="47">
        <v>3058</v>
      </c>
      <c r="O10" s="49">
        <v>10000000000</v>
      </c>
      <c r="P10" s="49">
        <v>10000000000</v>
      </c>
      <c r="Q10" s="47">
        <v>60</v>
      </c>
      <c r="R10" s="47">
        <v>1200</v>
      </c>
      <c r="S10" s="47">
        <v>600</v>
      </c>
      <c r="T10" s="47">
        <v>1700</v>
      </c>
      <c r="U10" s="47">
        <v>23</v>
      </c>
      <c r="V10" s="50">
        <v>10000000000</v>
      </c>
      <c r="W10" s="50">
        <v>10000000000</v>
      </c>
      <c r="X10" s="50">
        <v>10000000000</v>
      </c>
      <c r="Y10" s="50">
        <v>10000000000</v>
      </c>
      <c r="Z10" s="50">
        <v>10000000000</v>
      </c>
      <c r="AA10" s="50">
        <v>10000000000</v>
      </c>
      <c r="AB10" s="49">
        <v>10000000000</v>
      </c>
      <c r="AC10" s="49">
        <v>10000000000</v>
      </c>
      <c r="AD10" s="49">
        <v>10000000000</v>
      </c>
      <c r="AE10" s="49">
        <v>10000000000</v>
      </c>
      <c r="AF10" s="49">
        <v>10000000000</v>
      </c>
      <c r="AG10" s="49">
        <v>10000000000</v>
      </c>
      <c r="AH10" s="47">
        <v>362</v>
      </c>
      <c r="AI10" s="49">
        <v>10000000000</v>
      </c>
      <c r="AJ10" s="49">
        <v>10000000000</v>
      </c>
      <c r="AK10" s="49">
        <v>10000000000</v>
      </c>
      <c r="AL10" s="49">
        <v>10000000000</v>
      </c>
      <c r="AM10" s="49">
        <v>10000000000</v>
      </c>
      <c r="AN10" s="49">
        <v>10000000000</v>
      </c>
      <c r="AO10" s="49">
        <v>10000000000</v>
      </c>
      <c r="AP10" s="42">
        <v>0.1</v>
      </c>
      <c r="AQ10" s="53">
        <v>1.2E-2</v>
      </c>
      <c r="AR10" s="42">
        <v>0.3</v>
      </c>
      <c r="AS10" s="42">
        <v>0.65</v>
      </c>
      <c r="AT10" s="42">
        <v>0.35</v>
      </c>
      <c r="AU10" s="42">
        <v>0.1</v>
      </c>
      <c r="AW10" s="44">
        <v>2200</v>
      </c>
    </row>
    <row r="11" spans="1:56" x14ac:dyDescent="0.2">
      <c r="A11" t="s">
        <v>257</v>
      </c>
      <c r="B11" s="47">
        <v>2500</v>
      </c>
      <c r="C11" s="47">
        <v>299.99</v>
      </c>
      <c r="D11" s="47">
        <v>8</v>
      </c>
      <c r="E11" s="48">
        <v>3000</v>
      </c>
      <c r="F11" s="49">
        <v>10000000000</v>
      </c>
      <c r="G11" s="47">
        <v>800</v>
      </c>
      <c r="H11" s="47">
        <v>45</v>
      </c>
      <c r="I11" s="49">
        <v>10000000000</v>
      </c>
      <c r="J11" s="47">
        <v>30</v>
      </c>
      <c r="K11" s="47">
        <v>4000</v>
      </c>
      <c r="L11" s="49">
        <v>10000000000</v>
      </c>
      <c r="M11" s="49">
        <v>10000000000</v>
      </c>
      <c r="N11" s="47">
        <v>3629</v>
      </c>
      <c r="O11" s="49">
        <v>10000000000</v>
      </c>
      <c r="P11" s="49">
        <v>10000000000</v>
      </c>
      <c r="Q11" s="47">
        <v>80</v>
      </c>
      <c r="R11" s="47">
        <v>1800</v>
      </c>
      <c r="S11" s="47">
        <v>800</v>
      </c>
      <c r="T11" s="47">
        <v>2800</v>
      </c>
      <c r="U11" s="47">
        <v>34</v>
      </c>
      <c r="V11" s="50">
        <v>10000000000</v>
      </c>
      <c r="W11" s="50">
        <v>10000000000</v>
      </c>
      <c r="X11" s="50">
        <v>10000000000</v>
      </c>
      <c r="Y11" s="50">
        <v>10000000000</v>
      </c>
      <c r="Z11" s="50">
        <v>10000000000</v>
      </c>
      <c r="AA11" s="50">
        <v>10000000000</v>
      </c>
      <c r="AB11" s="49">
        <v>10000000000</v>
      </c>
      <c r="AC11" s="49">
        <v>10000000000</v>
      </c>
      <c r="AD11" s="49">
        <v>10000000000</v>
      </c>
      <c r="AE11" s="49">
        <v>10000000000</v>
      </c>
      <c r="AF11" s="49">
        <v>10000000000</v>
      </c>
      <c r="AG11" s="49">
        <v>10000000000</v>
      </c>
      <c r="AH11" s="47">
        <v>512</v>
      </c>
      <c r="AI11" s="49">
        <v>10000000000</v>
      </c>
      <c r="AJ11" s="49">
        <v>10000000000</v>
      </c>
      <c r="AK11" s="49">
        <v>10000000000</v>
      </c>
      <c r="AL11" s="49">
        <v>10000000000</v>
      </c>
      <c r="AM11" s="49">
        <v>10000000000</v>
      </c>
      <c r="AN11" s="49">
        <v>10000000000</v>
      </c>
      <c r="AO11" s="49">
        <v>10000000000</v>
      </c>
      <c r="AP11" s="42">
        <v>0.1</v>
      </c>
      <c r="AQ11" s="53">
        <v>1.2E-2</v>
      </c>
      <c r="AR11" s="42">
        <v>0.3</v>
      </c>
      <c r="AS11" s="42">
        <v>0.65</v>
      </c>
      <c r="AT11" s="42">
        <v>0.35</v>
      </c>
      <c r="AU11" s="42">
        <v>0.1</v>
      </c>
      <c r="AW11" s="44">
        <v>2300</v>
      </c>
    </row>
    <row r="12" spans="1:56" x14ac:dyDescent="0.2">
      <c r="A12" t="s">
        <v>258</v>
      </c>
      <c r="B12" s="47">
        <v>2500</v>
      </c>
      <c r="C12" s="47">
        <v>299.99</v>
      </c>
      <c r="D12" s="47">
        <v>10</v>
      </c>
      <c r="E12" s="48">
        <v>2800</v>
      </c>
      <c r="F12" s="49">
        <v>10000000000</v>
      </c>
      <c r="G12" s="47">
        <v>1000</v>
      </c>
      <c r="H12" s="47">
        <v>45</v>
      </c>
      <c r="I12" s="49">
        <v>10000000000</v>
      </c>
      <c r="J12" s="47">
        <v>35</v>
      </c>
      <c r="K12" s="47">
        <v>4000</v>
      </c>
      <c r="L12" s="49">
        <v>10000000000</v>
      </c>
      <c r="M12" s="49">
        <v>10000000000</v>
      </c>
      <c r="N12" s="47">
        <v>3324</v>
      </c>
      <c r="O12" s="49">
        <v>10000000000</v>
      </c>
      <c r="P12" s="49">
        <v>10000000000</v>
      </c>
      <c r="Q12" s="47">
        <v>100</v>
      </c>
      <c r="R12" s="47">
        <v>2000</v>
      </c>
      <c r="S12" s="47">
        <v>1000</v>
      </c>
      <c r="T12" s="47">
        <v>3000</v>
      </c>
      <c r="U12" s="47">
        <v>40</v>
      </c>
      <c r="V12" s="50">
        <v>10000000000</v>
      </c>
      <c r="W12" s="50">
        <v>10000000000</v>
      </c>
      <c r="X12" s="50">
        <v>10000000000</v>
      </c>
      <c r="Y12" s="50">
        <v>10000000000</v>
      </c>
      <c r="Z12" s="50">
        <v>10000000000</v>
      </c>
      <c r="AA12" s="50">
        <v>10000000000</v>
      </c>
      <c r="AB12" s="49">
        <v>10000000000</v>
      </c>
      <c r="AC12" s="49">
        <v>10000000000</v>
      </c>
      <c r="AD12" s="49">
        <v>10000000000</v>
      </c>
      <c r="AE12" s="49">
        <v>10000000000</v>
      </c>
      <c r="AF12" s="49">
        <v>10000000000</v>
      </c>
      <c r="AG12" s="49">
        <v>10000000000</v>
      </c>
      <c r="AH12" s="47">
        <v>426</v>
      </c>
      <c r="AI12" s="49">
        <v>10000000000</v>
      </c>
      <c r="AJ12" s="49">
        <v>10000000000</v>
      </c>
      <c r="AK12" s="49">
        <v>10000000000</v>
      </c>
      <c r="AL12" s="49">
        <v>10000000000</v>
      </c>
      <c r="AM12" s="49">
        <v>10000000000</v>
      </c>
      <c r="AN12" s="49">
        <v>10000000000</v>
      </c>
      <c r="AO12" s="49">
        <v>10000000000</v>
      </c>
      <c r="AP12" s="42">
        <v>0.1</v>
      </c>
      <c r="AQ12" s="53">
        <v>1.2E-2</v>
      </c>
      <c r="AR12" s="42">
        <v>0.35</v>
      </c>
      <c r="AS12" s="42">
        <v>0.65</v>
      </c>
      <c r="AT12" s="42">
        <v>0.35</v>
      </c>
      <c r="AU12" s="42">
        <v>0.1</v>
      </c>
      <c r="AW12" s="44">
        <v>2300</v>
      </c>
    </row>
    <row r="13" spans="1:56" x14ac:dyDescent="0.2">
      <c r="A13" s="333" t="s">
        <v>654</v>
      </c>
      <c r="B13" s="47">
        <v>2500</v>
      </c>
      <c r="C13" s="47">
        <v>299.99</v>
      </c>
      <c r="D13" s="47">
        <v>10</v>
      </c>
      <c r="E13" s="48">
        <v>2800</v>
      </c>
      <c r="F13" s="49">
        <v>10000000000</v>
      </c>
      <c r="G13" s="47">
        <v>1000</v>
      </c>
      <c r="H13" s="47">
        <v>45</v>
      </c>
      <c r="I13" s="49">
        <v>10000000000</v>
      </c>
      <c r="J13" s="47">
        <v>35</v>
      </c>
      <c r="K13" s="47">
        <v>4000</v>
      </c>
      <c r="L13" s="49">
        <v>10000000000</v>
      </c>
      <c r="M13" s="49">
        <v>10000000000</v>
      </c>
      <c r="N13" s="47">
        <v>3337</v>
      </c>
      <c r="O13" s="49">
        <v>10000000000</v>
      </c>
      <c r="P13" s="49">
        <v>10000000000</v>
      </c>
      <c r="Q13" s="47">
        <v>100</v>
      </c>
      <c r="R13" s="47">
        <v>2000</v>
      </c>
      <c r="S13" s="47">
        <v>1000</v>
      </c>
      <c r="T13" s="47">
        <v>3000</v>
      </c>
      <c r="U13" s="47">
        <v>40</v>
      </c>
      <c r="V13" s="50">
        <v>10000000000</v>
      </c>
      <c r="W13" s="50">
        <v>10000000000</v>
      </c>
      <c r="X13" s="50">
        <v>10000000000</v>
      </c>
      <c r="Y13" s="50">
        <v>10000000000</v>
      </c>
      <c r="Z13" s="50">
        <v>10000000000</v>
      </c>
      <c r="AA13" s="50">
        <v>10000000000</v>
      </c>
      <c r="AB13" s="49">
        <v>10000000000</v>
      </c>
      <c r="AC13" s="49">
        <v>10000000000</v>
      </c>
      <c r="AD13" s="49">
        <v>10000000000</v>
      </c>
      <c r="AE13" s="49">
        <v>10000000000</v>
      </c>
      <c r="AF13" s="49">
        <v>10000000000</v>
      </c>
      <c r="AG13" s="49">
        <v>10000000000</v>
      </c>
      <c r="AH13" s="47">
        <v>426</v>
      </c>
      <c r="AI13" s="49">
        <v>10000000000</v>
      </c>
      <c r="AJ13" s="49">
        <v>10000000000</v>
      </c>
      <c r="AK13" s="49">
        <v>10000000000</v>
      </c>
      <c r="AL13" s="49">
        <v>10000000000</v>
      </c>
      <c r="AM13" s="49">
        <v>10000000000</v>
      </c>
      <c r="AN13" s="49">
        <v>10000000000</v>
      </c>
      <c r="AO13" s="49">
        <v>10000000000</v>
      </c>
      <c r="AP13" s="42">
        <v>0.1</v>
      </c>
      <c r="AQ13" s="53">
        <v>1.2E-2</v>
      </c>
      <c r="AR13" s="42">
        <v>0.35</v>
      </c>
      <c r="AS13" s="42">
        <v>0.65</v>
      </c>
      <c r="AT13" s="42">
        <v>0.35</v>
      </c>
      <c r="AU13" s="42">
        <v>0.1</v>
      </c>
      <c r="AW13" s="44">
        <v>2300</v>
      </c>
    </row>
    <row r="14" spans="1:56" x14ac:dyDescent="0.2">
      <c r="A14" t="s">
        <v>260</v>
      </c>
      <c r="B14" s="47">
        <v>2500</v>
      </c>
      <c r="C14" s="47">
        <v>299.99</v>
      </c>
      <c r="D14" s="47">
        <v>10</v>
      </c>
      <c r="E14" s="48">
        <v>2600</v>
      </c>
      <c r="F14" s="49">
        <v>10000000000</v>
      </c>
      <c r="G14" s="47">
        <v>1000</v>
      </c>
      <c r="H14" s="47">
        <v>45</v>
      </c>
      <c r="I14" s="49">
        <v>10000000000</v>
      </c>
      <c r="J14" s="47">
        <v>35</v>
      </c>
      <c r="K14" s="47">
        <v>4000</v>
      </c>
      <c r="L14" s="49">
        <v>10000000000</v>
      </c>
      <c r="M14" s="49">
        <v>10000000000</v>
      </c>
      <c r="N14" s="47">
        <v>2900</v>
      </c>
      <c r="O14" s="49">
        <v>10000000000</v>
      </c>
      <c r="P14" s="49">
        <v>10000000000</v>
      </c>
      <c r="Q14" s="47">
        <v>100</v>
      </c>
      <c r="R14" s="47">
        <v>2000</v>
      </c>
      <c r="S14" s="47">
        <v>1000</v>
      </c>
      <c r="T14" s="47">
        <v>3000</v>
      </c>
      <c r="U14" s="47">
        <v>40</v>
      </c>
      <c r="V14" s="50">
        <v>10000000000</v>
      </c>
      <c r="W14" s="50">
        <v>10000000000</v>
      </c>
      <c r="X14" s="50">
        <v>10000000000</v>
      </c>
      <c r="Y14" s="50">
        <v>10000000000</v>
      </c>
      <c r="Z14" s="50">
        <v>10000000000</v>
      </c>
      <c r="AA14" s="50">
        <v>10000000000</v>
      </c>
      <c r="AB14" s="49">
        <v>10000000000</v>
      </c>
      <c r="AC14" s="49">
        <v>10000000000</v>
      </c>
      <c r="AD14" s="49">
        <v>10000000000</v>
      </c>
      <c r="AE14" s="49">
        <v>10000000000</v>
      </c>
      <c r="AF14" s="49">
        <v>10000000000</v>
      </c>
      <c r="AG14" s="49">
        <v>10000000000</v>
      </c>
      <c r="AH14" s="47">
        <v>410</v>
      </c>
      <c r="AI14" s="49">
        <v>10000000000</v>
      </c>
      <c r="AJ14" s="49">
        <v>10000000000</v>
      </c>
      <c r="AK14" s="49">
        <v>10000000000</v>
      </c>
      <c r="AL14" s="49">
        <v>10000000000</v>
      </c>
      <c r="AM14" s="49">
        <v>10000000000</v>
      </c>
      <c r="AN14" s="49">
        <v>10000000000</v>
      </c>
      <c r="AO14" s="49">
        <v>10000000000</v>
      </c>
      <c r="AP14" s="42">
        <v>0.1</v>
      </c>
      <c r="AQ14" s="53">
        <v>1.2E-2</v>
      </c>
      <c r="AR14" s="42">
        <v>0.35</v>
      </c>
      <c r="AS14" s="42">
        <v>0.65</v>
      </c>
      <c r="AT14" s="42">
        <v>0.35</v>
      </c>
      <c r="AU14" s="42">
        <v>0.1</v>
      </c>
      <c r="AW14" s="44">
        <v>2300</v>
      </c>
    </row>
    <row r="15" spans="1:56" x14ac:dyDescent="0.2">
      <c r="A15" t="s">
        <v>110</v>
      </c>
      <c r="B15" s="47">
        <v>2500</v>
      </c>
      <c r="C15" s="47">
        <v>299.99</v>
      </c>
      <c r="D15" s="47">
        <v>10</v>
      </c>
      <c r="E15" s="48">
        <v>2200</v>
      </c>
      <c r="F15" s="49">
        <v>10000000000</v>
      </c>
      <c r="G15" s="47">
        <v>1000</v>
      </c>
      <c r="H15" s="47">
        <v>45</v>
      </c>
      <c r="I15" s="49">
        <v>10000000000</v>
      </c>
      <c r="J15" s="47">
        <v>35</v>
      </c>
      <c r="K15" s="47">
        <v>3000</v>
      </c>
      <c r="L15" s="49">
        <v>10000000000</v>
      </c>
      <c r="M15" s="49">
        <v>10000000000</v>
      </c>
      <c r="N15" s="47">
        <v>2460</v>
      </c>
      <c r="O15" s="49">
        <v>10000000000</v>
      </c>
      <c r="P15" s="49">
        <v>10000000000</v>
      </c>
      <c r="Q15" s="47">
        <v>100</v>
      </c>
      <c r="R15" s="47">
        <v>2000</v>
      </c>
      <c r="S15" s="47">
        <v>1000</v>
      </c>
      <c r="T15" s="47">
        <v>3000</v>
      </c>
      <c r="U15" s="47">
        <v>40</v>
      </c>
      <c r="V15" s="50">
        <v>10000000000</v>
      </c>
      <c r="W15" s="50">
        <v>10000000000</v>
      </c>
      <c r="X15" s="50">
        <v>10000000000</v>
      </c>
      <c r="Y15" s="50">
        <v>10000000000</v>
      </c>
      <c r="Z15" s="50">
        <v>10000000000</v>
      </c>
      <c r="AA15" s="50">
        <v>10000000000</v>
      </c>
      <c r="AB15" s="49">
        <v>10000000000</v>
      </c>
      <c r="AC15" s="49">
        <v>10000000000</v>
      </c>
      <c r="AD15" s="49">
        <v>10000000000</v>
      </c>
      <c r="AE15" s="49">
        <v>10000000000</v>
      </c>
      <c r="AF15" s="49">
        <v>10000000000</v>
      </c>
      <c r="AG15" s="49">
        <v>10000000000</v>
      </c>
      <c r="AH15" s="47">
        <v>290</v>
      </c>
      <c r="AI15" s="49">
        <v>10000000000</v>
      </c>
      <c r="AJ15" s="49">
        <v>10000000000</v>
      </c>
      <c r="AK15" s="49">
        <v>10000000000</v>
      </c>
      <c r="AL15" s="49">
        <v>10000000000</v>
      </c>
      <c r="AM15" s="49">
        <v>10000000000</v>
      </c>
      <c r="AN15" s="49">
        <v>10000000000</v>
      </c>
      <c r="AO15" s="49">
        <v>10000000000</v>
      </c>
      <c r="AP15" s="42">
        <v>0.1</v>
      </c>
      <c r="AQ15" s="53">
        <v>1.2E-2</v>
      </c>
      <c r="AR15" s="42">
        <v>0.35</v>
      </c>
      <c r="AS15" s="42">
        <v>0.65</v>
      </c>
      <c r="AT15" s="42">
        <v>0.35</v>
      </c>
      <c r="AU15" s="42">
        <v>0.1</v>
      </c>
      <c r="AW15" s="44">
        <v>2300</v>
      </c>
    </row>
    <row r="16" spans="1:56" x14ac:dyDescent="0.2">
      <c r="A16" t="s">
        <v>261</v>
      </c>
      <c r="B16" s="47">
        <v>2500</v>
      </c>
      <c r="C16" s="47">
        <v>299.99</v>
      </c>
      <c r="D16" s="47">
        <v>5</v>
      </c>
      <c r="E16" s="48">
        <v>2200</v>
      </c>
      <c r="F16" s="49">
        <v>10000000000</v>
      </c>
      <c r="G16" s="47">
        <v>600</v>
      </c>
      <c r="H16" s="47">
        <v>40</v>
      </c>
      <c r="I16" s="49">
        <v>10000000000</v>
      </c>
      <c r="J16" s="47">
        <v>20</v>
      </c>
      <c r="K16" s="47">
        <v>4000</v>
      </c>
      <c r="L16" s="49">
        <v>10000000000</v>
      </c>
      <c r="M16" s="49">
        <v>10000000000</v>
      </c>
      <c r="N16" s="47">
        <v>2217</v>
      </c>
      <c r="O16" s="49">
        <v>10000000000</v>
      </c>
      <c r="P16" s="49">
        <v>10000000000</v>
      </c>
      <c r="Q16" s="47">
        <v>60</v>
      </c>
      <c r="R16" s="47">
        <v>1200</v>
      </c>
      <c r="S16" s="47">
        <v>600</v>
      </c>
      <c r="T16" s="47">
        <v>1700</v>
      </c>
      <c r="U16" s="47">
        <v>23</v>
      </c>
      <c r="V16" s="50">
        <v>10000000000</v>
      </c>
      <c r="W16" s="50">
        <v>10000000000</v>
      </c>
      <c r="X16" s="50">
        <v>10000000000</v>
      </c>
      <c r="Y16" s="50">
        <v>10000000000</v>
      </c>
      <c r="Z16" s="50">
        <v>10000000000</v>
      </c>
      <c r="AA16" s="50">
        <v>10000000000</v>
      </c>
      <c r="AB16" s="49">
        <v>10000000000</v>
      </c>
      <c r="AC16" s="49">
        <v>10000000000</v>
      </c>
      <c r="AD16" s="49">
        <v>10000000000</v>
      </c>
      <c r="AE16" s="49">
        <v>10000000000</v>
      </c>
      <c r="AF16" s="49">
        <v>10000000000</v>
      </c>
      <c r="AG16" s="49">
        <v>10000000000</v>
      </c>
      <c r="AH16" s="47">
        <v>290</v>
      </c>
      <c r="AI16" s="49">
        <v>10000000000</v>
      </c>
      <c r="AJ16" s="49">
        <v>10000000000</v>
      </c>
      <c r="AK16" s="49">
        <v>10000000000</v>
      </c>
      <c r="AL16" s="49">
        <v>10000000000</v>
      </c>
      <c r="AM16" s="49">
        <v>10000000000</v>
      </c>
      <c r="AN16" s="49">
        <v>10000000000</v>
      </c>
      <c r="AO16" s="49">
        <v>10000000000</v>
      </c>
      <c r="AP16" s="42">
        <v>0.1</v>
      </c>
      <c r="AQ16" s="53">
        <v>1.2E-2</v>
      </c>
      <c r="AR16" s="42">
        <v>0.3</v>
      </c>
      <c r="AS16" s="42">
        <v>0.65</v>
      </c>
      <c r="AT16" s="42">
        <v>0.35</v>
      </c>
      <c r="AU16" s="42">
        <v>0.1</v>
      </c>
      <c r="AW16" s="44">
        <v>2200</v>
      </c>
    </row>
    <row r="17" spans="1:49" x14ac:dyDescent="0.2">
      <c r="A17" t="s">
        <v>196</v>
      </c>
      <c r="B17" s="47">
        <v>2500</v>
      </c>
      <c r="C17" s="47">
        <v>299.99</v>
      </c>
      <c r="D17" s="47">
        <v>8</v>
      </c>
      <c r="E17" s="48">
        <v>2200</v>
      </c>
      <c r="F17" s="49">
        <v>10000000000</v>
      </c>
      <c r="G17" s="47">
        <v>800</v>
      </c>
      <c r="H17" s="47">
        <v>45</v>
      </c>
      <c r="I17" s="49">
        <v>10000000000</v>
      </c>
      <c r="J17" s="47">
        <v>30</v>
      </c>
      <c r="K17" s="47">
        <v>4000</v>
      </c>
      <c r="L17" s="49">
        <v>10000000000</v>
      </c>
      <c r="M17" s="49">
        <v>10000000000</v>
      </c>
      <c r="N17" s="47">
        <v>2322</v>
      </c>
      <c r="O17" s="49">
        <v>10000000000</v>
      </c>
      <c r="P17" s="49">
        <v>10000000000</v>
      </c>
      <c r="Q17" s="47">
        <v>80</v>
      </c>
      <c r="R17" s="47">
        <v>1800</v>
      </c>
      <c r="S17" s="47">
        <v>800</v>
      </c>
      <c r="T17" s="47">
        <v>2800</v>
      </c>
      <c r="U17" s="47">
        <v>34</v>
      </c>
      <c r="V17" s="50">
        <v>10000000000</v>
      </c>
      <c r="W17" s="50">
        <v>10000000000</v>
      </c>
      <c r="X17" s="50">
        <v>10000000000</v>
      </c>
      <c r="Y17" s="50">
        <v>10000000000</v>
      </c>
      <c r="Z17" s="50">
        <v>10000000000</v>
      </c>
      <c r="AA17" s="50">
        <v>10000000000</v>
      </c>
      <c r="AB17" s="49">
        <v>10000000000</v>
      </c>
      <c r="AC17" s="49">
        <v>10000000000</v>
      </c>
      <c r="AD17" s="49">
        <v>10000000000</v>
      </c>
      <c r="AE17" s="49">
        <v>10000000000</v>
      </c>
      <c r="AF17" s="49">
        <v>10000000000</v>
      </c>
      <c r="AG17" s="49">
        <v>10000000000</v>
      </c>
      <c r="AH17" s="47">
        <v>290</v>
      </c>
      <c r="AI17" s="49">
        <v>10000000000</v>
      </c>
      <c r="AJ17" s="49">
        <v>10000000000</v>
      </c>
      <c r="AK17" s="49">
        <v>10000000000</v>
      </c>
      <c r="AL17" s="49">
        <v>10000000000</v>
      </c>
      <c r="AM17" s="49">
        <v>10000000000</v>
      </c>
      <c r="AN17" s="49">
        <v>10000000000</v>
      </c>
      <c r="AO17" s="49">
        <v>10000000000</v>
      </c>
      <c r="AP17" s="42">
        <v>0.1</v>
      </c>
      <c r="AQ17" s="53">
        <v>1.2E-2</v>
      </c>
      <c r="AR17" s="42">
        <v>0.3</v>
      </c>
      <c r="AS17" s="42">
        <v>0.65</v>
      </c>
      <c r="AT17" s="42">
        <v>0.35</v>
      </c>
      <c r="AU17" s="42">
        <v>0.1</v>
      </c>
      <c r="AW17" s="44">
        <v>2300</v>
      </c>
    </row>
    <row r="18" spans="1:49" x14ac:dyDescent="0.2">
      <c r="A18" t="s">
        <v>262</v>
      </c>
      <c r="B18" s="47">
        <v>2500</v>
      </c>
      <c r="C18" s="47">
        <v>299.99</v>
      </c>
      <c r="D18" s="47">
        <v>10</v>
      </c>
      <c r="E18" s="48">
        <v>2200</v>
      </c>
      <c r="F18" s="49">
        <v>10000000000</v>
      </c>
      <c r="G18" s="47">
        <v>1000</v>
      </c>
      <c r="H18" s="47">
        <v>45</v>
      </c>
      <c r="I18" s="49">
        <v>10000000000</v>
      </c>
      <c r="J18" s="47">
        <v>35</v>
      </c>
      <c r="K18" s="47">
        <v>4000</v>
      </c>
      <c r="L18" s="49">
        <v>10000000000</v>
      </c>
      <c r="M18" s="49">
        <v>10000000000</v>
      </c>
      <c r="N18" s="47">
        <v>2656</v>
      </c>
      <c r="O18" s="49">
        <v>10000000000</v>
      </c>
      <c r="P18" s="49">
        <v>10000000000</v>
      </c>
      <c r="Q18" s="47">
        <v>100</v>
      </c>
      <c r="R18" s="47">
        <v>2000</v>
      </c>
      <c r="S18" s="47">
        <v>1000</v>
      </c>
      <c r="T18" s="47">
        <v>3000</v>
      </c>
      <c r="U18" s="47">
        <v>40</v>
      </c>
      <c r="V18" s="50">
        <v>10000000000</v>
      </c>
      <c r="W18" s="50">
        <v>10000000000</v>
      </c>
      <c r="X18" s="50">
        <v>10000000000</v>
      </c>
      <c r="Y18" s="50">
        <v>10000000000</v>
      </c>
      <c r="Z18" s="50">
        <v>10000000000</v>
      </c>
      <c r="AA18" s="50">
        <v>10000000000</v>
      </c>
      <c r="AB18" s="49">
        <v>10000000000</v>
      </c>
      <c r="AC18" s="49">
        <v>10000000000</v>
      </c>
      <c r="AD18" s="49">
        <v>10000000000</v>
      </c>
      <c r="AE18" s="49">
        <v>10000000000</v>
      </c>
      <c r="AF18" s="49">
        <v>10000000000</v>
      </c>
      <c r="AG18" s="49">
        <v>10000000000</v>
      </c>
      <c r="AH18" s="47">
        <v>290</v>
      </c>
      <c r="AI18" s="49">
        <v>10000000000</v>
      </c>
      <c r="AJ18" s="49">
        <v>10000000000</v>
      </c>
      <c r="AK18" s="49">
        <v>10000000000</v>
      </c>
      <c r="AL18" s="49">
        <v>10000000000</v>
      </c>
      <c r="AM18" s="49">
        <v>10000000000</v>
      </c>
      <c r="AN18" s="49">
        <v>10000000000</v>
      </c>
      <c r="AO18" s="49">
        <v>10000000000</v>
      </c>
      <c r="AP18" s="42">
        <v>0.1</v>
      </c>
      <c r="AQ18" s="53">
        <v>1.2E-2</v>
      </c>
      <c r="AR18" s="42">
        <v>0.35</v>
      </c>
      <c r="AS18" s="42">
        <v>0.65</v>
      </c>
      <c r="AT18" s="42">
        <v>0.35</v>
      </c>
      <c r="AU18" s="42">
        <v>0.1</v>
      </c>
      <c r="AW18" s="44">
        <v>2300</v>
      </c>
    </row>
    <row r="19" spans="1:49" x14ac:dyDescent="0.2">
      <c r="A19" s="333" t="s">
        <v>655</v>
      </c>
      <c r="B19" s="47">
        <v>2500</v>
      </c>
      <c r="C19" s="47">
        <v>299.99</v>
      </c>
      <c r="D19" s="47">
        <v>10</v>
      </c>
      <c r="E19" s="48">
        <v>2200</v>
      </c>
      <c r="F19" s="49">
        <v>10000000000</v>
      </c>
      <c r="G19" s="47">
        <v>1000</v>
      </c>
      <c r="H19" s="47">
        <v>45</v>
      </c>
      <c r="I19" s="49">
        <v>10000000000</v>
      </c>
      <c r="J19" s="47">
        <v>35</v>
      </c>
      <c r="K19" s="47">
        <v>4000</v>
      </c>
      <c r="L19" s="49">
        <v>10000000000</v>
      </c>
      <c r="M19" s="49">
        <v>10000000000</v>
      </c>
      <c r="N19" s="47">
        <v>2693</v>
      </c>
      <c r="O19" s="49">
        <v>10000000000</v>
      </c>
      <c r="P19" s="49">
        <v>10000000000</v>
      </c>
      <c r="Q19" s="47">
        <v>100</v>
      </c>
      <c r="R19" s="47">
        <v>2000</v>
      </c>
      <c r="S19" s="47">
        <v>1000</v>
      </c>
      <c r="T19" s="47">
        <v>3000</v>
      </c>
      <c r="U19" s="47">
        <v>40</v>
      </c>
      <c r="V19" s="50">
        <v>10000000000</v>
      </c>
      <c r="W19" s="50">
        <v>10000000000</v>
      </c>
      <c r="X19" s="50">
        <v>10000000000</v>
      </c>
      <c r="Y19" s="50">
        <v>10000000000</v>
      </c>
      <c r="Z19" s="50">
        <v>10000000000</v>
      </c>
      <c r="AA19" s="50">
        <v>10000000000</v>
      </c>
      <c r="AB19" s="49">
        <v>10000000000</v>
      </c>
      <c r="AC19" s="49">
        <v>10000000000</v>
      </c>
      <c r="AD19" s="49">
        <v>10000000000</v>
      </c>
      <c r="AE19" s="49">
        <v>10000000000</v>
      </c>
      <c r="AF19" s="49">
        <v>10000000000</v>
      </c>
      <c r="AG19" s="49">
        <v>10000000000</v>
      </c>
      <c r="AH19" s="47">
        <v>290</v>
      </c>
      <c r="AI19" s="49">
        <v>10000000000</v>
      </c>
      <c r="AJ19" s="49">
        <v>10000000000</v>
      </c>
      <c r="AK19" s="49">
        <v>10000000000</v>
      </c>
      <c r="AL19" s="49">
        <v>10000000000</v>
      </c>
      <c r="AM19" s="49">
        <v>10000000000</v>
      </c>
      <c r="AN19" s="49">
        <v>10000000000</v>
      </c>
      <c r="AO19" s="49">
        <v>10000000000</v>
      </c>
      <c r="AP19" s="42">
        <v>0.1</v>
      </c>
      <c r="AQ19" s="53">
        <v>1.2E-2</v>
      </c>
      <c r="AR19" s="42">
        <v>0.35</v>
      </c>
      <c r="AS19" s="42">
        <v>0.65</v>
      </c>
      <c r="AT19" s="42">
        <v>0.35</v>
      </c>
      <c r="AU19" s="42">
        <v>0.1</v>
      </c>
      <c r="AW19" s="44">
        <v>2300</v>
      </c>
    </row>
    <row r="20" spans="1:49" x14ac:dyDescent="0.2">
      <c r="A20" t="s">
        <v>231</v>
      </c>
      <c r="B20" s="47">
        <v>2500</v>
      </c>
      <c r="C20" s="47">
        <v>299.99</v>
      </c>
      <c r="D20" s="47">
        <v>10</v>
      </c>
      <c r="E20" s="48">
        <v>2200</v>
      </c>
      <c r="F20" s="49">
        <v>10000000000</v>
      </c>
      <c r="G20" s="47">
        <v>1000</v>
      </c>
      <c r="H20" s="47">
        <v>45</v>
      </c>
      <c r="I20" s="49">
        <v>10000000000</v>
      </c>
      <c r="J20" s="47">
        <v>35</v>
      </c>
      <c r="K20" s="47">
        <v>4000</v>
      </c>
      <c r="L20" s="49">
        <v>10000000000</v>
      </c>
      <c r="M20" s="49">
        <v>10000000000</v>
      </c>
      <c r="N20" s="47">
        <v>2247</v>
      </c>
      <c r="O20" s="49">
        <v>10000000000</v>
      </c>
      <c r="P20" s="49">
        <v>10000000000</v>
      </c>
      <c r="Q20" s="47">
        <v>100</v>
      </c>
      <c r="R20" s="47">
        <v>2000</v>
      </c>
      <c r="S20" s="47">
        <v>1000</v>
      </c>
      <c r="T20" s="47">
        <v>3000</v>
      </c>
      <c r="U20" s="47">
        <v>40</v>
      </c>
      <c r="V20" s="50">
        <v>10000000000</v>
      </c>
      <c r="W20" s="50">
        <v>10000000000</v>
      </c>
      <c r="X20" s="50">
        <v>10000000000</v>
      </c>
      <c r="Y20" s="50">
        <v>10000000000</v>
      </c>
      <c r="Z20" s="50">
        <v>10000000000</v>
      </c>
      <c r="AA20" s="50">
        <v>10000000000</v>
      </c>
      <c r="AB20" s="49">
        <v>10000000000</v>
      </c>
      <c r="AC20" s="49">
        <v>10000000000</v>
      </c>
      <c r="AD20" s="49">
        <v>10000000000</v>
      </c>
      <c r="AE20" s="49">
        <v>10000000000</v>
      </c>
      <c r="AF20" s="49">
        <v>10000000000</v>
      </c>
      <c r="AG20" s="49">
        <v>10000000000</v>
      </c>
      <c r="AH20" s="47">
        <v>290</v>
      </c>
      <c r="AI20" s="49">
        <v>10000000000</v>
      </c>
      <c r="AJ20" s="49">
        <v>10000000000</v>
      </c>
      <c r="AK20" s="49">
        <v>10000000000</v>
      </c>
      <c r="AL20" s="49">
        <v>10000000000</v>
      </c>
      <c r="AM20" s="49">
        <v>10000000000</v>
      </c>
      <c r="AN20" s="49">
        <v>10000000000</v>
      </c>
      <c r="AO20" s="49">
        <v>10000000000</v>
      </c>
      <c r="AP20" s="42">
        <v>0.1</v>
      </c>
      <c r="AQ20" s="53">
        <v>1.2E-2</v>
      </c>
      <c r="AR20" s="42">
        <v>0.35</v>
      </c>
      <c r="AS20" s="42">
        <v>0.65</v>
      </c>
      <c r="AT20" s="42">
        <v>0.35</v>
      </c>
      <c r="AU20" s="42">
        <v>0.1</v>
      </c>
      <c r="AW20" s="44">
        <v>2300</v>
      </c>
    </row>
    <row r="21" spans="1:49" x14ac:dyDescent="0.2">
      <c r="A21" t="s">
        <v>109</v>
      </c>
      <c r="B21" s="47">
        <v>2500</v>
      </c>
      <c r="C21" s="47">
        <v>299.99</v>
      </c>
      <c r="D21" s="47">
        <v>10</v>
      </c>
      <c r="E21" s="48">
        <v>1800</v>
      </c>
      <c r="F21" s="49">
        <v>10000000000</v>
      </c>
      <c r="G21" s="47">
        <v>1000</v>
      </c>
      <c r="H21" s="47">
        <v>45</v>
      </c>
      <c r="I21" s="49">
        <v>10000000000</v>
      </c>
      <c r="J21" s="47">
        <v>35</v>
      </c>
      <c r="K21" s="47">
        <v>3000</v>
      </c>
      <c r="L21" s="49">
        <v>10000000000</v>
      </c>
      <c r="M21" s="49">
        <v>10000000000</v>
      </c>
      <c r="N21" s="47">
        <v>2201</v>
      </c>
      <c r="O21" s="49">
        <v>10000000000</v>
      </c>
      <c r="P21" s="49">
        <v>10000000000</v>
      </c>
      <c r="Q21" s="47">
        <v>100</v>
      </c>
      <c r="R21" s="47">
        <v>2000</v>
      </c>
      <c r="S21" s="47">
        <v>1000</v>
      </c>
      <c r="T21" s="47">
        <v>3000</v>
      </c>
      <c r="U21" s="47">
        <v>40</v>
      </c>
      <c r="V21" s="50">
        <v>10000000000</v>
      </c>
      <c r="W21" s="50">
        <v>10000000000</v>
      </c>
      <c r="X21" s="50">
        <v>10000000000</v>
      </c>
      <c r="Y21" s="50">
        <v>10000000000</v>
      </c>
      <c r="Z21" s="50">
        <v>10000000000</v>
      </c>
      <c r="AA21" s="50">
        <v>10000000000</v>
      </c>
      <c r="AB21" s="49">
        <v>10000000000</v>
      </c>
      <c r="AC21" s="49">
        <v>10000000000</v>
      </c>
      <c r="AD21" s="49">
        <v>10000000000</v>
      </c>
      <c r="AE21" s="49">
        <v>10000000000</v>
      </c>
      <c r="AF21" s="49">
        <v>10000000000</v>
      </c>
      <c r="AG21" s="49">
        <v>10000000000</v>
      </c>
      <c r="AH21" s="47">
        <v>195</v>
      </c>
      <c r="AI21" s="49">
        <v>10000000000</v>
      </c>
      <c r="AJ21" s="49">
        <v>10000000000</v>
      </c>
      <c r="AK21" s="49">
        <v>10000000000</v>
      </c>
      <c r="AL21" s="49">
        <v>10000000000</v>
      </c>
      <c r="AM21" s="49">
        <v>10000000000</v>
      </c>
      <c r="AN21" s="49">
        <v>10000000000</v>
      </c>
      <c r="AO21" s="49">
        <v>10000000000</v>
      </c>
      <c r="AP21" s="42">
        <v>0.1</v>
      </c>
      <c r="AQ21" s="53">
        <v>1.2E-2</v>
      </c>
      <c r="AR21" s="42">
        <v>0.35</v>
      </c>
      <c r="AS21" s="42">
        <v>0.65</v>
      </c>
      <c r="AT21" s="42">
        <v>0.35</v>
      </c>
      <c r="AU21" s="42">
        <v>0.1</v>
      </c>
      <c r="AW21" s="44">
        <v>2300</v>
      </c>
    </row>
  </sheetData>
  <mergeCells count="1">
    <mergeCell ref="AQ3:AV3"/>
  </mergeCells>
  <phoneticPr fontId="0" type="noConversion"/>
  <pageMargins left="0.75" right="0.75" top="1" bottom="1" header="0.5" footer="0.5"/>
  <pageSetup scale="84" fitToWidth="2" orientation="landscape"/>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64"/>
  <sheetViews>
    <sheetView workbookViewId="0">
      <pane xSplit="2" ySplit="4" topLeftCell="C5" activePane="bottomRight" state="frozen"/>
      <selection sqref="A1:U1"/>
      <selection pane="topRight" sqref="A1:U1"/>
      <selection pane="bottomLeft" sqref="A1:U1"/>
      <selection pane="bottomRight" activeCell="D17" sqref="D17"/>
    </sheetView>
  </sheetViews>
  <sheetFormatPr defaultColWidth="8.85546875" defaultRowHeight="12.75" x14ac:dyDescent="0.2"/>
  <cols>
    <col min="1" max="1" width="11.42578125" hidden="1" customWidth="1"/>
    <col min="2" max="2" width="29" customWidth="1"/>
    <col min="3" max="3" width="10.42578125" customWidth="1"/>
    <col min="4" max="4" width="9.85546875" customWidth="1"/>
    <col min="5" max="5" width="10.140625" customWidth="1"/>
    <col min="6" max="6" width="8.85546875" customWidth="1"/>
    <col min="7" max="8" width="11.42578125" customWidth="1"/>
    <col min="9" max="9" width="11" customWidth="1"/>
    <col min="10" max="10" width="10.42578125" customWidth="1"/>
    <col min="11" max="11" width="11.42578125" customWidth="1"/>
    <col min="12" max="12" width="11.140625" customWidth="1"/>
    <col min="13" max="13" width="11" customWidth="1"/>
    <col min="14" max="14" width="11.7109375" customWidth="1"/>
    <col min="15" max="15" width="11.42578125" customWidth="1"/>
    <col min="16" max="16" width="8.85546875" customWidth="1"/>
    <col min="17" max="17" width="12.42578125" customWidth="1"/>
    <col min="18" max="18" width="11.85546875" customWidth="1"/>
    <col min="19" max="19" width="11" customWidth="1"/>
  </cols>
  <sheetData>
    <row r="1" spans="1:23" ht="15.75" x14ac:dyDescent="0.25">
      <c r="B1" s="5" t="s">
        <v>77</v>
      </c>
      <c r="C1" s="6"/>
      <c r="D1" s="6"/>
      <c r="E1" s="6"/>
      <c r="F1" s="6"/>
      <c r="G1" s="6"/>
      <c r="H1" s="6"/>
      <c r="I1" s="6"/>
      <c r="J1" s="6"/>
      <c r="K1" s="6"/>
      <c r="L1" s="6"/>
      <c r="M1" s="6"/>
      <c r="N1" s="6"/>
      <c r="O1" s="6"/>
      <c r="P1" s="6"/>
      <c r="Q1" s="6"/>
      <c r="R1" s="6"/>
      <c r="S1" s="6"/>
    </row>
    <row r="2" spans="1:23" ht="15.75" x14ac:dyDescent="0.25">
      <c r="B2" s="5" t="s">
        <v>78</v>
      </c>
      <c r="C2" s="6"/>
      <c r="D2" s="6"/>
      <c r="E2" s="6"/>
      <c r="F2" s="6"/>
      <c r="G2" s="6"/>
      <c r="H2" s="6"/>
      <c r="I2" s="6"/>
      <c r="J2" s="6"/>
      <c r="K2" s="6"/>
      <c r="L2" s="6"/>
      <c r="M2" s="6"/>
      <c r="N2" s="6"/>
      <c r="O2" s="6"/>
      <c r="P2" s="6"/>
      <c r="Q2" s="6"/>
      <c r="R2" s="6"/>
      <c r="S2" s="6"/>
    </row>
    <row r="3" spans="1:23" ht="15.75" x14ac:dyDescent="0.25">
      <c r="B3" s="5"/>
      <c r="C3" s="488" t="s">
        <v>79</v>
      </c>
      <c r="D3" s="489"/>
      <c r="E3" s="489"/>
      <c r="F3" s="489"/>
      <c r="G3" s="489"/>
      <c r="H3" s="488" t="s">
        <v>44</v>
      </c>
      <c r="I3" s="489"/>
      <c r="J3" s="489"/>
      <c r="K3" s="489"/>
      <c r="L3" s="489"/>
      <c r="M3" s="489"/>
      <c r="N3" s="488" t="s">
        <v>45</v>
      </c>
      <c r="O3" s="489"/>
      <c r="P3" s="489"/>
      <c r="Q3" s="489"/>
      <c r="R3" s="489"/>
      <c r="S3" s="489"/>
      <c r="U3" s="3"/>
    </row>
    <row r="4" spans="1:23" x14ac:dyDescent="0.2">
      <c r="B4" s="8" t="s">
        <v>591</v>
      </c>
      <c r="C4" s="7" t="s">
        <v>514</v>
      </c>
      <c r="D4" s="7" t="s">
        <v>515</v>
      </c>
      <c r="E4" s="7" t="s">
        <v>516</v>
      </c>
      <c r="F4" s="7" t="s">
        <v>517</v>
      </c>
      <c r="G4" s="7" t="s">
        <v>518</v>
      </c>
      <c r="H4" s="7" t="s">
        <v>519</v>
      </c>
      <c r="I4" s="7" t="s">
        <v>16</v>
      </c>
      <c r="J4" s="7" t="s">
        <v>520</v>
      </c>
      <c r="K4" s="334" t="s">
        <v>662</v>
      </c>
      <c r="L4" s="7" t="s">
        <v>522</v>
      </c>
      <c r="M4" s="7" t="s">
        <v>523</v>
      </c>
      <c r="N4" s="7" t="s">
        <v>519</v>
      </c>
      <c r="O4" s="7" t="s">
        <v>16</v>
      </c>
      <c r="P4" s="7" t="s">
        <v>520</v>
      </c>
      <c r="Q4" s="334" t="s">
        <v>662</v>
      </c>
      <c r="R4" s="7" t="s">
        <v>522</v>
      </c>
      <c r="S4" s="7" t="s">
        <v>523</v>
      </c>
      <c r="U4" s="74"/>
      <c r="V4" s="74"/>
      <c r="W4" s="74"/>
    </row>
    <row r="5" spans="1:23" hidden="1" x14ac:dyDescent="0.2">
      <c r="B5" s="8"/>
      <c r="C5" t="s">
        <v>397</v>
      </c>
      <c r="D5" t="s">
        <v>401</v>
      </c>
      <c r="E5" t="s">
        <v>398</v>
      </c>
      <c r="F5" t="s">
        <v>399</v>
      </c>
      <c r="G5" t="s">
        <v>405</v>
      </c>
      <c r="H5" t="s">
        <v>402</v>
      </c>
      <c r="I5" t="s">
        <v>257</v>
      </c>
      <c r="J5" t="s">
        <v>258</v>
      </c>
      <c r="K5" s="332" t="s">
        <v>654</v>
      </c>
      <c r="L5" t="s">
        <v>260</v>
      </c>
      <c r="M5" t="s">
        <v>110</v>
      </c>
      <c r="N5" t="s">
        <v>261</v>
      </c>
      <c r="O5" t="s">
        <v>196</v>
      </c>
      <c r="P5" t="s">
        <v>262</v>
      </c>
      <c r="Q5" s="332" t="s">
        <v>655</v>
      </c>
      <c r="R5" t="s">
        <v>231</v>
      </c>
      <c r="S5" t="s">
        <v>109</v>
      </c>
      <c r="U5" s="74"/>
      <c r="V5" s="74"/>
      <c r="W5" s="74"/>
    </row>
    <row r="6" spans="1:23" x14ac:dyDescent="0.2">
      <c r="A6" s="75">
        <v>2</v>
      </c>
      <c r="B6" s="2" t="s">
        <v>577</v>
      </c>
      <c r="C6" s="9">
        <v>3.6544202662545042</v>
      </c>
      <c r="D6" s="9">
        <v>1.9242098331818083</v>
      </c>
      <c r="E6" s="9">
        <v>0.96523891249870342</v>
      </c>
      <c r="F6" s="9">
        <v>1.2238819341100799</v>
      </c>
      <c r="G6" s="9">
        <v>1.0526184000802639</v>
      </c>
      <c r="H6" s="9">
        <v>0.95924587172751841</v>
      </c>
      <c r="I6" s="9">
        <v>1.2887564957112323</v>
      </c>
      <c r="J6" s="9">
        <v>0.73490756469480856</v>
      </c>
      <c r="K6" s="9">
        <v>0.7409683896389343</v>
      </c>
      <c r="L6" s="9">
        <v>0.84011857581455074</v>
      </c>
      <c r="M6" s="9">
        <v>0.895499367081522</v>
      </c>
      <c r="N6" s="9">
        <v>0.9087351246863995</v>
      </c>
      <c r="O6" s="9">
        <v>0.72179097807316084</v>
      </c>
      <c r="P6" s="9">
        <v>0.56772402411185485</v>
      </c>
      <c r="Q6" s="9">
        <v>0.62924509132940143</v>
      </c>
      <c r="R6" s="9">
        <v>0.58761440790287933</v>
      </c>
      <c r="S6" s="9">
        <v>0.64354307449854642</v>
      </c>
      <c r="U6" s="9"/>
    </row>
    <row r="7" spans="1:23" x14ac:dyDescent="0.2">
      <c r="A7" s="75">
        <v>3</v>
      </c>
      <c r="B7" s="3" t="s">
        <v>327</v>
      </c>
      <c r="C7" s="9">
        <v>1.4597878421065738</v>
      </c>
      <c r="D7" s="9">
        <v>1.2303431973846246</v>
      </c>
      <c r="E7" s="9">
        <v>1.2834807325457052</v>
      </c>
      <c r="F7" s="9">
        <v>0.90805832520436303</v>
      </c>
      <c r="G7" s="9">
        <v>1.2876647789638125</v>
      </c>
      <c r="H7" s="9">
        <v>1.3522991845917864</v>
      </c>
      <c r="I7" s="9">
        <v>1.4835532245993195</v>
      </c>
      <c r="J7" s="9">
        <v>0.26701688013649477</v>
      </c>
      <c r="K7" s="9">
        <v>0.77331863083571928</v>
      </c>
      <c r="L7" s="9">
        <v>1.3430368125353394</v>
      </c>
      <c r="M7" s="9">
        <v>1.2653596403180929</v>
      </c>
      <c r="N7" s="9">
        <v>0.72086229698054316</v>
      </c>
      <c r="O7" s="9">
        <v>0.98520145557166272</v>
      </c>
      <c r="P7" s="9">
        <v>0.69711686565984221</v>
      </c>
      <c r="Q7" s="9">
        <v>0.70582409723611061</v>
      </c>
      <c r="R7" s="9">
        <v>1.1396671906317797</v>
      </c>
      <c r="S7" s="9">
        <v>1.5957460429568402</v>
      </c>
      <c r="U7" s="9"/>
    </row>
    <row r="8" spans="1:23" x14ac:dyDescent="0.2">
      <c r="A8" s="75">
        <v>4</v>
      </c>
      <c r="B8" s="2" t="s">
        <v>29</v>
      </c>
      <c r="C8" s="9">
        <v>0.13759878515572613</v>
      </c>
      <c r="D8" s="9">
        <v>0.11149705463989992</v>
      </c>
      <c r="E8" s="9">
        <v>8.643778183754057E-2</v>
      </c>
      <c r="F8" s="9">
        <v>0.11189779095905708</v>
      </c>
      <c r="G8" s="9">
        <v>9.3646855818563329E-2</v>
      </c>
      <c r="H8" s="9">
        <v>7.9919528228758335E-2</v>
      </c>
      <c r="I8" s="9">
        <v>0.20331398367813969</v>
      </c>
      <c r="J8" s="9">
        <v>0.11381954156564414</v>
      </c>
      <c r="K8" s="9">
        <v>0.1786070991269707</v>
      </c>
      <c r="L8" s="9">
        <v>0.18001923557585517</v>
      </c>
      <c r="M8" s="9">
        <v>9.6855149532074469E-2</v>
      </c>
      <c r="N8" s="9">
        <v>8.6487138498053687E-2</v>
      </c>
      <c r="O8" s="9">
        <v>0.11237917253426793</v>
      </c>
      <c r="P8" s="9">
        <v>0.16605365933000624</v>
      </c>
      <c r="Q8" s="9">
        <v>0.13870514768822675</v>
      </c>
      <c r="R8" s="9">
        <v>0.14719428886773153</v>
      </c>
      <c r="S8" s="9">
        <v>0.12077558807828263</v>
      </c>
      <c r="U8" s="9"/>
    </row>
    <row r="9" spans="1:23" x14ac:dyDescent="0.2">
      <c r="A9" s="75">
        <v>5</v>
      </c>
      <c r="B9" s="3" t="s">
        <v>60</v>
      </c>
      <c r="C9" s="9">
        <v>0.69708045568231247</v>
      </c>
      <c r="D9" s="9">
        <v>0.73100854783401148</v>
      </c>
      <c r="E9" s="9">
        <v>0.65621598934375402</v>
      </c>
      <c r="F9" s="9">
        <v>0.76505947402416485</v>
      </c>
      <c r="G9" s="9">
        <v>0.90128714013186073</v>
      </c>
      <c r="H9" s="9">
        <v>0.67563193614251948</v>
      </c>
      <c r="I9" s="9">
        <v>0.58398938654757671</v>
      </c>
      <c r="J9" s="9">
        <v>1.2281939439966125E-2</v>
      </c>
      <c r="K9" s="9">
        <v>0.22955587927170604</v>
      </c>
      <c r="L9" s="9">
        <v>0.40818349890520972</v>
      </c>
      <c r="M9" s="9">
        <v>0.26724534991795396</v>
      </c>
      <c r="N9" s="9">
        <v>0.80472550975296642</v>
      </c>
      <c r="O9" s="9">
        <v>0.36450401253659093</v>
      </c>
      <c r="P9" s="9">
        <v>0.3319102502390191</v>
      </c>
      <c r="Q9" s="9">
        <v>0.30070396447071679</v>
      </c>
      <c r="R9" s="9">
        <v>0.52495011190857588</v>
      </c>
      <c r="S9" s="9">
        <v>0.47347860657522511</v>
      </c>
      <c r="U9" s="9"/>
    </row>
    <row r="10" spans="1:23" x14ac:dyDescent="0.2">
      <c r="A10" s="75">
        <v>6</v>
      </c>
      <c r="B10" s="3" t="s">
        <v>61</v>
      </c>
      <c r="C10" s="9">
        <v>5.9420609303510258E-2</v>
      </c>
      <c r="D10" s="9">
        <v>0.11578723666806054</v>
      </c>
      <c r="E10" s="9">
        <v>0.24969081030932158</v>
      </c>
      <c r="F10" s="9">
        <v>0.44963292032836505</v>
      </c>
      <c r="G10" s="9">
        <v>0.23539337847042038</v>
      </c>
      <c r="H10" s="9">
        <v>0.2023101276481061</v>
      </c>
      <c r="I10" s="9">
        <v>0.24180595383469838</v>
      </c>
      <c r="J10" s="9">
        <v>0.13318960241357483</v>
      </c>
      <c r="K10" s="9">
        <v>0.26209420291491514</v>
      </c>
      <c r="L10" s="9">
        <v>0.1832199718850617</v>
      </c>
      <c r="M10" s="9">
        <v>0.1808785018061306</v>
      </c>
      <c r="N10" s="9">
        <v>0.22781244963970132</v>
      </c>
      <c r="O10" s="9">
        <v>0.18636619813952632</v>
      </c>
      <c r="P10" s="9">
        <v>1.3868244908359979E-2</v>
      </c>
      <c r="Q10" s="9">
        <v>8.7193505530558699E-2</v>
      </c>
      <c r="R10" s="9">
        <v>0.26649019582581362</v>
      </c>
      <c r="S10" s="9">
        <v>0.37009395984112459</v>
      </c>
      <c r="U10" s="9"/>
    </row>
    <row r="11" spans="1:23" x14ac:dyDescent="0.2">
      <c r="A11" s="75">
        <v>7</v>
      </c>
      <c r="B11" s="3" t="s">
        <v>425</v>
      </c>
      <c r="C11" s="9">
        <v>2.2910410689522785E-2</v>
      </c>
      <c r="D11" s="9">
        <v>4.3151512372983022E-2</v>
      </c>
      <c r="E11" s="9">
        <v>3.3757392810837013E-2</v>
      </c>
      <c r="F11" s="9">
        <v>8.7889683401141352E-2</v>
      </c>
      <c r="G11" s="9">
        <v>0.10702627384627529</v>
      </c>
      <c r="H11" s="9">
        <v>7.8526258680310462E-2</v>
      </c>
      <c r="I11" s="9">
        <v>0.27897593190037989</v>
      </c>
      <c r="J11" s="9">
        <v>0.22548216256352618</v>
      </c>
      <c r="K11" s="9">
        <v>0.16008679650254265</v>
      </c>
      <c r="L11" s="9">
        <v>0.29606241604719868</v>
      </c>
      <c r="M11" s="9">
        <v>9.575007408810364E-2</v>
      </c>
      <c r="N11" s="9">
        <v>6.3908828219737993E-2</v>
      </c>
      <c r="O11" s="9">
        <v>6.1872153706079916E-2</v>
      </c>
      <c r="P11" s="9">
        <v>9.2090584257496111E-2</v>
      </c>
      <c r="Q11" s="9">
        <v>8.5179729530214021E-2</v>
      </c>
      <c r="R11" s="9">
        <v>0.16015647620658346</v>
      </c>
      <c r="S11" s="9">
        <v>5.6015694563635227E-2</v>
      </c>
      <c r="U11" s="9"/>
    </row>
    <row r="12" spans="1:23" x14ac:dyDescent="0.2">
      <c r="A12" s="75">
        <v>8</v>
      </c>
      <c r="B12" s="3" t="s">
        <v>324</v>
      </c>
      <c r="C12" s="9">
        <v>4.1406450649425983E-3</v>
      </c>
      <c r="D12" s="9">
        <v>1.5726286524785985E-2</v>
      </c>
      <c r="E12" s="9">
        <v>2.0331702681834405E-2</v>
      </c>
      <c r="F12" s="9">
        <v>3.3366531322324068E-2</v>
      </c>
      <c r="G12" s="9">
        <v>2.6985664683547777E-2</v>
      </c>
      <c r="H12" s="9">
        <v>0.15664747918882646</v>
      </c>
      <c r="I12" s="9">
        <v>0.14946119961745039</v>
      </c>
      <c r="J12" s="9">
        <v>4.0947560996152745E-2</v>
      </c>
      <c r="K12" s="9">
        <v>0.11545320364448033</v>
      </c>
      <c r="L12" s="9">
        <v>6.7647886830138601E-2</v>
      </c>
      <c r="M12" s="9">
        <v>6.9177679334033779E-2</v>
      </c>
      <c r="N12" s="9">
        <v>3.1519606920362014E-2</v>
      </c>
      <c r="O12" s="9">
        <v>6.689269473842907E-2</v>
      </c>
      <c r="P12" s="9">
        <v>2.3599845275789125E-2</v>
      </c>
      <c r="Q12" s="9">
        <v>9.8339162468257829E-2</v>
      </c>
      <c r="R12" s="9">
        <v>0.10732110637585317</v>
      </c>
      <c r="S12" s="9">
        <v>5.6134006895281072E-2</v>
      </c>
      <c r="U12" s="9"/>
    </row>
    <row r="13" spans="1:23" x14ac:dyDescent="0.2">
      <c r="A13" s="75">
        <v>9</v>
      </c>
      <c r="B13" s="3" t="s">
        <v>616</v>
      </c>
      <c r="C13" s="9">
        <v>2.1987211425878337E-3</v>
      </c>
      <c r="D13" s="9">
        <v>1.1409772022520449E-2</v>
      </c>
      <c r="E13" s="9">
        <v>2.0826885760062242E-2</v>
      </c>
      <c r="F13" s="9">
        <v>2.179995304449053E-2</v>
      </c>
      <c r="G13" s="9">
        <v>3.1502264734485502E-2</v>
      </c>
      <c r="H13" s="9">
        <v>3.9381813110937289E-2</v>
      </c>
      <c r="I13" s="9">
        <v>3.4849753048692721E-2</v>
      </c>
      <c r="J13" s="9">
        <v>3.7667029445753179E-3</v>
      </c>
      <c r="K13" s="9">
        <v>4.9279512423207016E-2</v>
      </c>
      <c r="L13" s="9">
        <v>3.2906071485821232E-2</v>
      </c>
      <c r="M13" s="9">
        <v>1.3752902546028416E-2</v>
      </c>
      <c r="N13" s="9">
        <v>2.9354338059630371E-3</v>
      </c>
      <c r="O13" s="9">
        <v>1.0167856140484424E-2</v>
      </c>
      <c r="P13" s="9">
        <v>1.424671937567018E-2</v>
      </c>
      <c r="Q13" s="9">
        <v>1.424671937567018E-2</v>
      </c>
      <c r="R13" s="9">
        <v>5.1874657030167928E-2</v>
      </c>
      <c r="S13" s="9">
        <v>6.3508547044041824E-2</v>
      </c>
      <c r="U13" s="9"/>
    </row>
    <row r="14" spans="1:23" x14ac:dyDescent="0.2">
      <c r="A14" s="75">
        <v>10</v>
      </c>
      <c r="B14" s="3" t="s">
        <v>617</v>
      </c>
      <c r="C14" s="9">
        <v>8.2061656089174151E-2</v>
      </c>
      <c r="D14" s="9">
        <v>6.4389077795945035E-2</v>
      </c>
      <c r="E14" s="9">
        <v>6.563544788917329E-2</v>
      </c>
      <c r="F14" s="9">
        <v>0.11826104042551641</v>
      </c>
      <c r="G14" s="9">
        <v>6.3607507753036807E-2</v>
      </c>
      <c r="H14" s="9">
        <v>0.1541750085174973</v>
      </c>
      <c r="I14" s="9">
        <v>0.28554908084507269</v>
      </c>
      <c r="J14" s="9">
        <v>0.10300823641391212</v>
      </c>
      <c r="K14" s="9">
        <v>0.25120361729932744</v>
      </c>
      <c r="L14" s="9">
        <v>0.18668047135046539</v>
      </c>
      <c r="M14" s="9">
        <v>0.19853746445003564</v>
      </c>
      <c r="N14" s="9">
        <v>7.1179713122893659E-2</v>
      </c>
      <c r="O14" s="9">
        <v>0.1371793562349535</v>
      </c>
      <c r="P14" s="9">
        <v>8.589918819087311E-2</v>
      </c>
      <c r="Q14" s="9">
        <v>0.11035822967314929</v>
      </c>
      <c r="R14" s="9">
        <v>0.19854044531978851</v>
      </c>
      <c r="S14" s="9">
        <v>9.9992687346421902E-2</v>
      </c>
      <c r="U14" s="9"/>
    </row>
    <row r="15" spans="1:23" x14ac:dyDescent="0.2">
      <c r="A15" s="75">
        <v>11</v>
      </c>
      <c r="B15" s="3" t="s">
        <v>562</v>
      </c>
      <c r="C15" s="9">
        <v>6.1007271450928538E-3</v>
      </c>
      <c r="D15" s="9">
        <v>2.4430210398923808E-2</v>
      </c>
      <c r="E15" s="9">
        <v>7.684836369558622E-3</v>
      </c>
      <c r="F15" s="9">
        <v>5.2465674459632574E-3</v>
      </c>
      <c r="G15" s="9">
        <v>1.518468466837015E-2</v>
      </c>
      <c r="H15" s="9">
        <v>1.8025767725952605E-2</v>
      </c>
      <c r="I15" s="9">
        <v>5.728981015113265E-3</v>
      </c>
      <c r="J15" s="9">
        <v>1.2361401823202858E-2</v>
      </c>
      <c r="K15" s="9">
        <v>1.2361401823202858E-2</v>
      </c>
      <c r="L15" s="9">
        <v>8.9698268624912689E-2</v>
      </c>
      <c r="M15" s="9">
        <v>1.9495187573641878E-2</v>
      </c>
      <c r="N15" s="9">
        <v>1.2631649380918547E-2</v>
      </c>
      <c r="O15" s="9">
        <v>1.6154227434952054E-2</v>
      </c>
      <c r="P15" s="9">
        <v>3.053496318133175E-2</v>
      </c>
      <c r="Q15" s="9">
        <v>2.5361649090094796E-2</v>
      </c>
      <c r="R15" s="9">
        <v>4.1223031907039985E-3</v>
      </c>
      <c r="S15" s="9">
        <v>9.3352851836731397E-3</v>
      </c>
      <c r="U15" s="9"/>
    </row>
    <row r="16" spans="1:23" x14ac:dyDescent="0.2">
      <c r="A16" s="75">
        <v>12</v>
      </c>
      <c r="B16" s="3" t="s">
        <v>571</v>
      </c>
      <c r="C16" s="9">
        <v>1.334129094561984E-3</v>
      </c>
      <c r="D16" s="9">
        <v>3.9481797458130168E-3</v>
      </c>
      <c r="E16" s="9">
        <v>4.2727927551479722E-2</v>
      </c>
      <c r="F16" s="9">
        <v>4.6451789313314467E-3</v>
      </c>
      <c r="G16" s="9">
        <v>2.5602633855840967E-2</v>
      </c>
      <c r="H16" s="9">
        <v>1.549257589857661E-2</v>
      </c>
      <c r="I16" s="9">
        <v>3.6826585090670653E-2</v>
      </c>
      <c r="J16" s="9">
        <v>1.7202264109058462E-2</v>
      </c>
      <c r="K16" s="9">
        <v>7.6093794695466302E-2</v>
      </c>
      <c r="L16" s="9">
        <v>0.17593145489191075</v>
      </c>
      <c r="M16" s="9">
        <v>0.11233333616625618</v>
      </c>
      <c r="N16" s="9">
        <v>6.8167184749549315E-3</v>
      </c>
      <c r="O16" s="9">
        <v>2.5508429489494423E-2</v>
      </c>
      <c r="P16" s="9">
        <v>2.4902290004202885E-2</v>
      </c>
      <c r="Q16" s="9">
        <v>7.3064018827389957E-2</v>
      </c>
      <c r="R16" s="9">
        <v>0.17165885112792764</v>
      </c>
      <c r="S16" s="9">
        <v>0.11037225390720472</v>
      </c>
      <c r="U16" s="9"/>
    </row>
    <row r="17" spans="1:21" x14ac:dyDescent="0.2">
      <c r="A17" s="75">
        <v>13</v>
      </c>
      <c r="B17" s="3" t="s">
        <v>450</v>
      </c>
      <c r="C17" s="9">
        <v>1.0216779092081668E-3</v>
      </c>
      <c r="D17" s="9">
        <v>3.2138132183016795E-3</v>
      </c>
      <c r="E17" s="9">
        <v>5.4564002125348874E-3</v>
      </c>
      <c r="F17" s="9">
        <v>5.9905561638957583E-3</v>
      </c>
      <c r="G17" s="9">
        <v>5.9905561638957583E-3</v>
      </c>
      <c r="H17" s="9">
        <v>9.7780606991052866E-4</v>
      </c>
      <c r="I17" s="9">
        <v>9.7780606991052866E-4</v>
      </c>
      <c r="J17" s="9">
        <v>8.4913847000788762E-3</v>
      </c>
      <c r="K17" s="9">
        <v>3.2866924466233349E-2</v>
      </c>
      <c r="L17" s="9">
        <v>4.9868207221942358E-2</v>
      </c>
      <c r="M17" s="9">
        <v>5.0155916443876895E-2</v>
      </c>
      <c r="N17" s="9">
        <v>2.5102835212736587E-3</v>
      </c>
      <c r="O17" s="9">
        <v>2.5102835212736587E-3</v>
      </c>
      <c r="P17" s="9">
        <v>2.5102835212736587E-3</v>
      </c>
      <c r="Q17" s="9">
        <v>2.5102835212736587E-3</v>
      </c>
      <c r="R17" s="9">
        <v>8.966596461160126E-3</v>
      </c>
      <c r="S17" s="9">
        <v>1.6949281006752893E-2</v>
      </c>
      <c r="U17" s="9"/>
    </row>
    <row r="18" spans="1:21" x14ac:dyDescent="0.2">
      <c r="A18" s="75">
        <v>14</v>
      </c>
      <c r="B18" s="3" t="s">
        <v>451</v>
      </c>
      <c r="C18" s="9">
        <v>4.5104375950498167E-3</v>
      </c>
      <c r="D18" s="9">
        <v>1.282784645888207E-2</v>
      </c>
      <c r="E18" s="9">
        <v>1.2379999905274126E-2</v>
      </c>
      <c r="F18" s="9">
        <v>5.2367138556687646E-3</v>
      </c>
      <c r="G18" s="9">
        <v>1.3610382467081352E-2</v>
      </c>
      <c r="H18" s="9">
        <v>7.9800568967046525E-3</v>
      </c>
      <c r="I18" s="9">
        <v>5.8169748091245043E-3</v>
      </c>
      <c r="J18" s="9">
        <v>1.5574748177908626E-2</v>
      </c>
      <c r="K18" s="9">
        <v>3.7290758733581342E-2</v>
      </c>
      <c r="L18" s="9">
        <v>3.5959436109635007E-2</v>
      </c>
      <c r="M18" s="9">
        <v>3.102710698586247E-2</v>
      </c>
      <c r="N18" s="9">
        <v>6.1221031551431125E-2</v>
      </c>
      <c r="O18" s="9">
        <v>6.1221031551431125E-2</v>
      </c>
      <c r="P18" s="9">
        <v>6.1221031551431125E-2</v>
      </c>
      <c r="Q18" s="9">
        <v>6.1221031551431125E-2</v>
      </c>
      <c r="R18" s="9">
        <v>2.2443105808702398E-2</v>
      </c>
      <c r="S18" s="9">
        <v>7.0179528466986184E-3</v>
      </c>
      <c r="U18" s="9"/>
    </row>
    <row r="19" spans="1:21" x14ac:dyDescent="0.2">
      <c r="A19" s="75">
        <v>15</v>
      </c>
      <c r="B19" s="3" t="s">
        <v>452</v>
      </c>
      <c r="C19" s="9">
        <v>1.3790061994307056E-2</v>
      </c>
      <c r="D19" s="9">
        <v>2.4061333880914963E-2</v>
      </c>
      <c r="E19" s="9">
        <v>2.2506857021040647E-2</v>
      </c>
      <c r="F19" s="9">
        <v>4.2191639310766166E-2</v>
      </c>
      <c r="G19" s="9">
        <v>2.0904801248557293E-2</v>
      </c>
      <c r="H19" s="9">
        <v>5.2645550932323336E-2</v>
      </c>
      <c r="I19" s="9">
        <v>3.9077007731088451E-2</v>
      </c>
      <c r="J19" s="9">
        <v>4.3262456634898614E-3</v>
      </c>
      <c r="K19" s="9">
        <v>6.2517502638319206E-2</v>
      </c>
      <c r="L19" s="9">
        <v>1.3360541519798546E-2</v>
      </c>
      <c r="M19" s="9">
        <v>8.6079513568343508E-2</v>
      </c>
      <c r="N19" s="9">
        <v>7.5994475151684018E-2</v>
      </c>
      <c r="O19" s="9">
        <v>2.2973169822103873E-2</v>
      </c>
      <c r="P19" s="9">
        <v>1.2512297267095794E-2</v>
      </c>
      <c r="Q19" s="9">
        <v>4.8508046141067247E-2</v>
      </c>
      <c r="R19" s="9">
        <v>4.71650316465448E-2</v>
      </c>
      <c r="S19" s="9">
        <v>3.9426972411247867E-2</v>
      </c>
      <c r="U19" s="9"/>
    </row>
    <row r="20" spans="1:21" x14ac:dyDescent="0.2">
      <c r="A20" s="75">
        <v>16</v>
      </c>
      <c r="B20" s="3" t="s">
        <v>453</v>
      </c>
      <c r="C20" s="9">
        <v>4.1152498588074585E-2</v>
      </c>
      <c r="D20" s="9">
        <v>3.6203022920773022E-2</v>
      </c>
      <c r="E20" s="9">
        <v>2.2042231456483981E-2</v>
      </c>
      <c r="F20" s="9">
        <v>3.3011385588718703E-2</v>
      </c>
      <c r="G20" s="9">
        <v>3.5634762264665241E-2</v>
      </c>
      <c r="H20" s="9">
        <v>5.0746814681509642E-2</v>
      </c>
      <c r="I20" s="9">
        <v>0.1443015266027613</v>
      </c>
      <c r="J20" s="9">
        <v>3.4936545990921733E-2</v>
      </c>
      <c r="K20" s="9">
        <v>0.20097034813025588</v>
      </c>
      <c r="L20" s="9">
        <v>6.6013102958681971E-2</v>
      </c>
      <c r="M20" s="9">
        <v>0.16495633833203716</v>
      </c>
      <c r="N20" s="9">
        <v>0.17821178840481355</v>
      </c>
      <c r="O20" s="9">
        <v>9.1714230588315002E-2</v>
      </c>
      <c r="P20" s="9">
        <v>8.3854559275994264E-2</v>
      </c>
      <c r="Q20" s="9">
        <v>0.13613840169649868</v>
      </c>
      <c r="R20" s="9">
        <v>9.3020131444781426E-2</v>
      </c>
      <c r="S20" s="9">
        <v>4.4929003788476793E-2</v>
      </c>
      <c r="U20" s="9"/>
    </row>
    <row r="21" spans="1:21" x14ac:dyDescent="0.2">
      <c r="A21" s="75">
        <v>17</v>
      </c>
      <c r="B21" s="3" t="s">
        <v>445</v>
      </c>
      <c r="C21" s="9">
        <v>2.2530798858339508E-2</v>
      </c>
      <c r="D21" s="9">
        <v>2.2530798858339508E-2</v>
      </c>
      <c r="E21" s="9">
        <v>6.1759991417306768E-4</v>
      </c>
      <c r="F21" s="9">
        <v>6.1759991417306768E-4</v>
      </c>
      <c r="G21" s="9">
        <v>6.1759991417306768E-4</v>
      </c>
      <c r="H21" s="9">
        <v>9.7639817644570824E-3</v>
      </c>
      <c r="I21" s="9">
        <v>9.7639817644570824E-3</v>
      </c>
      <c r="J21" s="9">
        <v>1.0041227405279194E-2</v>
      </c>
      <c r="K21" s="9">
        <v>1.0041227405279194E-2</v>
      </c>
      <c r="L21" s="9">
        <v>1.0041227405279194E-2</v>
      </c>
      <c r="M21" s="9">
        <v>2.9350305402960301E-2</v>
      </c>
      <c r="N21" s="9">
        <v>2.289584713737333E-3</v>
      </c>
      <c r="O21" s="9">
        <v>2.289584713737333E-3</v>
      </c>
      <c r="P21" s="9">
        <v>3.0110353047616806E-2</v>
      </c>
      <c r="Q21" s="9">
        <v>2.1689437584492779E-2</v>
      </c>
      <c r="R21" s="9">
        <v>1.4337716863911734E-2</v>
      </c>
      <c r="S21" s="9">
        <v>1.4337716863911734E-2</v>
      </c>
      <c r="U21" s="9"/>
    </row>
    <row r="22" spans="1:21" x14ac:dyDescent="0.2">
      <c r="A22" s="75">
        <v>18</v>
      </c>
      <c r="B22" s="3" t="s">
        <v>446</v>
      </c>
      <c r="C22" s="9">
        <v>9.5158801660677597E-2</v>
      </c>
      <c r="D22" s="9">
        <v>8.2389406300086246E-2</v>
      </c>
      <c r="E22" s="9">
        <v>8.8444931143726271E-2</v>
      </c>
      <c r="F22" s="9">
        <v>0.13827651635302027</v>
      </c>
      <c r="G22" s="9">
        <v>0.12678106127919045</v>
      </c>
      <c r="H22" s="9">
        <v>0.16970214996924457</v>
      </c>
      <c r="I22" s="9">
        <v>0.16141393049339597</v>
      </c>
      <c r="J22" s="9">
        <v>0.12913151698127975</v>
      </c>
      <c r="K22" s="9">
        <v>0.15468815746620376</v>
      </c>
      <c r="L22" s="9">
        <v>0.13602193338527357</v>
      </c>
      <c r="M22" s="9">
        <v>0.15053516060507027</v>
      </c>
      <c r="N22" s="9">
        <v>0.24525072895797023</v>
      </c>
      <c r="O22" s="9">
        <v>0.30801227191605868</v>
      </c>
      <c r="P22" s="9">
        <v>0.14289863165511515</v>
      </c>
      <c r="Q22" s="9">
        <v>0.14583251580375101</v>
      </c>
      <c r="R22" s="9">
        <v>0.18765097981502157</v>
      </c>
      <c r="S22" s="9">
        <v>0.12158723832911539</v>
      </c>
      <c r="U22" s="9"/>
    </row>
    <row r="23" spans="1:21" x14ac:dyDescent="0.2">
      <c r="A23" s="75">
        <v>19</v>
      </c>
      <c r="B23" s="2" t="s">
        <v>578</v>
      </c>
      <c r="C23" s="9">
        <v>0.10016442392549595</v>
      </c>
      <c r="D23" s="9">
        <v>0.14488602077695034</v>
      </c>
      <c r="E23" s="9">
        <v>0.12947580359976377</v>
      </c>
      <c r="F23" s="9">
        <v>0.12557654497708773</v>
      </c>
      <c r="G23" s="9">
        <v>0.10108347596403164</v>
      </c>
      <c r="H23" s="9">
        <v>0.20013847745303537</v>
      </c>
      <c r="I23" s="9">
        <v>0.15252630708698156</v>
      </c>
      <c r="J23" s="9">
        <v>0.16957624957178002</v>
      </c>
      <c r="K23" s="9">
        <v>0.1110252873609142</v>
      </c>
      <c r="L23" s="9">
        <v>0.13418967228852688</v>
      </c>
      <c r="M23" s="9">
        <v>0.22054516086024797</v>
      </c>
      <c r="N23" s="9">
        <v>0.11396052813903559</v>
      </c>
      <c r="O23" s="9">
        <v>6.0606357225562589E-2</v>
      </c>
      <c r="P23" s="9">
        <v>6.6350661069279532E-2</v>
      </c>
      <c r="Q23" s="9">
        <v>0.10371193734590572</v>
      </c>
      <c r="R23" s="9">
        <v>7.9052267637016727E-2</v>
      </c>
      <c r="S23" s="9">
        <v>7.9887103521315228E-2</v>
      </c>
      <c r="U23" s="9"/>
    </row>
    <row r="24" spans="1:21" x14ac:dyDescent="0.2">
      <c r="A24" s="75">
        <v>20</v>
      </c>
      <c r="B24" s="3" t="s">
        <v>447</v>
      </c>
      <c r="C24" s="9">
        <v>5.4763457601000723E-2</v>
      </c>
      <c r="D24" s="9">
        <v>4.2603697568244676E-2</v>
      </c>
      <c r="E24" s="9">
        <v>5.2436136209922574E-2</v>
      </c>
      <c r="F24" s="9">
        <v>6.1823270095246373E-2</v>
      </c>
      <c r="G24" s="9">
        <v>4.9065880640517631E-2</v>
      </c>
      <c r="H24" s="9">
        <v>4.56925538773649E-2</v>
      </c>
      <c r="I24" s="9">
        <v>0.11340975984635758</v>
      </c>
      <c r="J24" s="9">
        <v>0.11311770198738375</v>
      </c>
      <c r="K24" s="9">
        <v>0.12998781311065194</v>
      </c>
      <c r="L24" s="9">
        <v>0.12011454281555983</v>
      </c>
      <c r="M24" s="9">
        <v>9.0858763013272184E-2</v>
      </c>
      <c r="N24" s="9">
        <v>5.1760028586585675E-2</v>
      </c>
      <c r="O24" s="9">
        <v>5.5911465448825429E-2</v>
      </c>
      <c r="P24" s="9">
        <v>2.3275084412750016E-2</v>
      </c>
      <c r="Q24" s="9">
        <v>0.13851813120062967</v>
      </c>
      <c r="R24" s="9">
        <v>8.7525428137410349E-2</v>
      </c>
      <c r="S24" s="9">
        <v>9.5243869614314955E-2</v>
      </c>
      <c r="U24" s="9"/>
    </row>
    <row r="25" spans="1:21" x14ac:dyDescent="0.2">
      <c r="A25" s="75">
        <v>21</v>
      </c>
      <c r="B25" s="2" t="s">
        <v>579</v>
      </c>
      <c r="C25" s="9">
        <v>0.18274046946773204</v>
      </c>
      <c r="D25" s="9">
        <v>0.14109266758897945</v>
      </c>
      <c r="E25" s="9">
        <v>0.13215125791325616</v>
      </c>
      <c r="F25" s="9">
        <v>0.1416715484556349</v>
      </c>
      <c r="G25" s="9">
        <v>0.14237651377644492</v>
      </c>
      <c r="H25" s="9">
        <v>0.13591523501933092</v>
      </c>
      <c r="I25" s="9">
        <v>0.18038819900555797</v>
      </c>
      <c r="J25" s="9">
        <v>0.44488511965797672</v>
      </c>
      <c r="K25" s="9">
        <v>0.2851835287910176</v>
      </c>
      <c r="L25" s="9">
        <v>0.44114789153121797</v>
      </c>
      <c r="M25" s="9">
        <v>0.26605650084178012</v>
      </c>
      <c r="N25" s="9">
        <v>7.7721758940127325E-2</v>
      </c>
      <c r="O25" s="9">
        <v>0.19445806117998862</v>
      </c>
      <c r="P25" s="9">
        <v>0.21188995389216728</v>
      </c>
      <c r="Q25" s="9">
        <v>0.26220858125590718</v>
      </c>
      <c r="R25" s="9">
        <v>0.25858410840994128</v>
      </c>
      <c r="S25" s="9">
        <v>0.25613646683178493</v>
      </c>
      <c r="U25" s="9"/>
    </row>
    <row r="26" spans="1:21" x14ac:dyDescent="0.2">
      <c r="A26" s="75">
        <v>22</v>
      </c>
      <c r="B26" s="2" t="s">
        <v>580</v>
      </c>
      <c r="C26" s="9">
        <v>0.14224455264115041</v>
      </c>
      <c r="D26" s="9">
        <v>0.15466003210969315</v>
      </c>
      <c r="E26" s="9">
        <v>0.29532451990858777</v>
      </c>
      <c r="F26" s="9">
        <v>0.22743647258393079</v>
      </c>
      <c r="G26" s="9">
        <v>0.44057465922614497</v>
      </c>
      <c r="H26" s="9">
        <v>0.30718153465082598</v>
      </c>
      <c r="I26" s="9">
        <v>0.67494417397116646</v>
      </c>
      <c r="J26" s="9">
        <v>0.71770789608393881</v>
      </c>
      <c r="K26" s="9">
        <v>0.52426964786162822</v>
      </c>
      <c r="L26" s="9">
        <v>0.35028765932843897</v>
      </c>
      <c r="M26" s="9">
        <v>0.46268647356887854</v>
      </c>
      <c r="N26" s="9">
        <v>0.3648469523093314</v>
      </c>
      <c r="O26" s="9">
        <v>0.55085492516761947</v>
      </c>
      <c r="P26" s="9">
        <v>0.37632525995447957</v>
      </c>
      <c r="Q26" s="9">
        <v>0.4827816376934429</v>
      </c>
      <c r="R26" s="9">
        <v>0.38220377505060904</v>
      </c>
      <c r="S26" s="9">
        <v>0.40139869285361152</v>
      </c>
      <c r="U26" s="9"/>
    </row>
    <row r="27" spans="1:21" x14ac:dyDescent="0.2">
      <c r="A27" s="75">
        <v>23</v>
      </c>
      <c r="B27" s="3" t="s">
        <v>178</v>
      </c>
      <c r="C27" s="9">
        <v>0.29218769914753934</v>
      </c>
      <c r="D27" s="9">
        <v>0.18994153394820085</v>
      </c>
      <c r="E27" s="9">
        <v>0.19585622816509154</v>
      </c>
      <c r="F27" s="9">
        <v>0.30459981094833355</v>
      </c>
      <c r="G27" s="9">
        <v>0.3894119306934482</v>
      </c>
      <c r="H27" s="9">
        <v>0.45284287287488206</v>
      </c>
      <c r="I27" s="9">
        <v>0.5991858039348259</v>
      </c>
      <c r="J27" s="9">
        <v>0.437142292814372</v>
      </c>
      <c r="K27" s="9">
        <v>0.78362364855553168</v>
      </c>
      <c r="L27" s="9">
        <v>0.47803380904089104</v>
      </c>
      <c r="M27" s="9">
        <v>0.52726823096114206</v>
      </c>
      <c r="N27" s="9">
        <v>0.25317133945171283</v>
      </c>
      <c r="O27" s="9">
        <v>0.35102257347873511</v>
      </c>
      <c r="P27" s="9">
        <v>0.3671702602867869</v>
      </c>
      <c r="Q27" s="9">
        <v>0.50148821546087363</v>
      </c>
      <c r="R27" s="9">
        <v>0.47029257624038712</v>
      </c>
      <c r="S27" s="9">
        <v>0.54276080661980963</v>
      </c>
      <c r="U27" s="9"/>
    </row>
    <row r="28" spans="1:21" x14ac:dyDescent="0.2">
      <c r="A28" s="75">
        <v>24</v>
      </c>
      <c r="B28" s="2" t="s">
        <v>581</v>
      </c>
      <c r="C28" s="9">
        <v>0.11131388498271705</v>
      </c>
      <c r="D28" s="9">
        <v>0.1086629996897988</v>
      </c>
      <c r="E28" s="9">
        <v>7.7164328894782003E-2</v>
      </c>
      <c r="F28" s="9">
        <v>5.4616071127008198E-2</v>
      </c>
      <c r="G28" s="9">
        <v>0.12296260438997175</v>
      </c>
      <c r="H28" s="9">
        <v>0.16058881184782833</v>
      </c>
      <c r="I28" s="9">
        <v>0.18903036608124471</v>
      </c>
      <c r="J28" s="9">
        <v>0.15672496284748888</v>
      </c>
      <c r="K28" s="9">
        <v>0.26412636943911827</v>
      </c>
      <c r="L28" s="9">
        <v>0.46942402328674115</v>
      </c>
      <c r="M28" s="9">
        <v>0.19492576025926694</v>
      </c>
      <c r="N28" s="9">
        <v>8.4579462132903918E-2</v>
      </c>
      <c r="O28" s="9">
        <v>0.11946564064235847</v>
      </c>
      <c r="P28" s="9">
        <v>0.36831557850903851</v>
      </c>
      <c r="Q28" s="9">
        <v>0.26531309616932391</v>
      </c>
      <c r="R28" s="9">
        <v>0.31641226919836929</v>
      </c>
      <c r="S28" s="9">
        <v>0.21982010182665074</v>
      </c>
      <c r="U28" s="9"/>
    </row>
    <row r="29" spans="1:21" x14ac:dyDescent="0.2">
      <c r="A29" s="75">
        <v>25</v>
      </c>
      <c r="B29" s="2" t="s">
        <v>15</v>
      </c>
      <c r="C29" s="9">
        <v>1.6031157415741307E-2</v>
      </c>
      <c r="D29" s="9">
        <v>2.1007370421776458E-2</v>
      </c>
      <c r="E29" s="9">
        <v>1.9869802039526398E-2</v>
      </c>
      <c r="F29" s="9">
        <v>3.9027879648155815E-2</v>
      </c>
      <c r="G29" s="9">
        <v>4.7426441605102482E-2</v>
      </c>
      <c r="H29" s="9">
        <v>5.6314712816023897E-2</v>
      </c>
      <c r="I29" s="9">
        <v>3.3599106023488388E-2</v>
      </c>
      <c r="J29" s="9">
        <v>0.11294467835007493</v>
      </c>
      <c r="K29" s="9">
        <v>5.1594282023451878E-2</v>
      </c>
      <c r="L29" s="9">
        <v>8.515431254278108E-2</v>
      </c>
      <c r="M29" s="9">
        <v>8.5376375563013807E-2</v>
      </c>
      <c r="N29" s="9">
        <v>1.564107823694711E-2</v>
      </c>
      <c r="O29" s="9">
        <v>7.353114963807271E-3</v>
      </c>
      <c r="P29" s="9">
        <v>1.2867425114603724E-2</v>
      </c>
      <c r="Q29" s="9">
        <v>4.7865909279944593E-2</v>
      </c>
      <c r="R29" s="9">
        <v>9.2097499399738839E-2</v>
      </c>
      <c r="S29" s="9">
        <v>2.3961468821400315E-2</v>
      </c>
      <c r="U29" s="9"/>
    </row>
    <row r="30" spans="1:21" x14ac:dyDescent="0.2">
      <c r="A30" s="75">
        <v>26</v>
      </c>
      <c r="B30" s="3" t="s">
        <v>406</v>
      </c>
      <c r="C30" s="9">
        <v>7.5815915926868791E-3</v>
      </c>
      <c r="D30" s="9">
        <v>7.5815915926868791E-3</v>
      </c>
      <c r="E30" s="9">
        <v>7.5815915926868791E-3</v>
      </c>
      <c r="F30" s="9">
        <v>1.2240830053413341E-3</v>
      </c>
      <c r="G30" s="9">
        <v>7.6336974502883657E-3</v>
      </c>
      <c r="H30" s="9">
        <v>2.1103851680070441E-2</v>
      </c>
      <c r="I30" s="9">
        <v>2.1103851680070441E-2</v>
      </c>
      <c r="J30" s="9">
        <v>5.6943048991159213E-3</v>
      </c>
      <c r="K30" s="9">
        <v>2.4773492944619904E-2</v>
      </c>
      <c r="L30" s="9">
        <v>2.1789751911767997E-3</v>
      </c>
      <c r="M30" s="9">
        <v>8.149362284358171E-3</v>
      </c>
      <c r="N30" s="9">
        <v>1.1721537992492991E-2</v>
      </c>
      <c r="O30" s="9">
        <v>1.6965699066300265E-2</v>
      </c>
      <c r="P30" s="9">
        <v>6.5777283131083272E-3</v>
      </c>
      <c r="Q30" s="9">
        <v>6.5777283131083272E-3</v>
      </c>
      <c r="R30" s="9">
        <v>2.4847328291936085E-2</v>
      </c>
      <c r="S30" s="9">
        <v>1.0024977321586357E-2</v>
      </c>
      <c r="U30" s="9"/>
    </row>
    <row r="31" spans="1:21" x14ac:dyDescent="0.2">
      <c r="A31" s="75">
        <v>27</v>
      </c>
      <c r="B31" s="3" t="s">
        <v>407</v>
      </c>
      <c r="C31" s="9">
        <v>0.23162948139381867</v>
      </c>
      <c r="D31" s="9">
        <v>0.38919349769825723</v>
      </c>
      <c r="E31" s="9">
        <v>0.34849709579080751</v>
      </c>
      <c r="F31" s="9">
        <v>0.45658151243975126</v>
      </c>
      <c r="G31" s="9">
        <v>0.60850295436306556</v>
      </c>
      <c r="H31" s="9">
        <v>0.53541838252446816</v>
      </c>
      <c r="I31" s="9">
        <v>0.68962288654176673</v>
      </c>
      <c r="J31" s="9">
        <v>0.82314689945551933</v>
      </c>
      <c r="K31" s="9">
        <v>0.79762867272625126</v>
      </c>
      <c r="L31" s="9">
        <v>0.96081849614361625</v>
      </c>
      <c r="M31" s="9">
        <v>0.83278717281040671</v>
      </c>
      <c r="N31" s="9">
        <v>0.58143373817504462</v>
      </c>
      <c r="O31" s="9">
        <v>0.4628690850102713</v>
      </c>
      <c r="P31" s="9">
        <v>0.61231248416582074</v>
      </c>
      <c r="Q31" s="9">
        <v>0.75386696013006482</v>
      </c>
      <c r="R31" s="9">
        <v>0.75513885407853876</v>
      </c>
      <c r="S31" s="9">
        <v>0.8980241021437283</v>
      </c>
      <c r="U31" s="9"/>
    </row>
    <row r="32" spans="1:21" x14ac:dyDescent="0.2">
      <c r="A32" s="75">
        <v>28</v>
      </c>
      <c r="B32" s="3" t="s">
        <v>619</v>
      </c>
      <c r="C32" s="9">
        <v>0.16434021700261664</v>
      </c>
      <c r="D32" s="9">
        <v>0.15275390338509912</v>
      </c>
      <c r="E32" s="9">
        <v>0.1683364111701412</v>
      </c>
      <c r="F32" s="9">
        <v>0.15218068524281567</v>
      </c>
      <c r="G32" s="9">
        <v>0.20019303295967161</v>
      </c>
      <c r="H32" s="9">
        <v>0.15643954859418069</v>
      </c>
      <c r="I32" s="9">
        <v>0.17534524695751919</v>
      </c>
      <c r="J32" s="9">
        <v>9.822328724984121E-2</v>
      </c>
      <c r="K32" s="9">
        <v>0.12911184592287378</v>
      </c>
      <c r="L32" s="9">
        <v>0.13198126224895856</v>
      </c>
      <c r="M32" s="9">
        <v>0.2520567599045449</v>
      </c>
      <c r="N32" s="9">
        <v>0.17872539415080599</v>
      </c>
      <c r="O32" s="9">
        <v>9.6954372237470721E-2</v>
      </c>
      <c r="P32" s="9">
        <v>0.14490538682611936</v>
      </c>
      <c r="Q32" s="9">
        <v>9.7443346645866735E-2</v>
      </c>
      <c r="R32" s="9">
        <v>0.16615312539976304</v>
      </c>
      <c r="S32" s="9">
        <v>0.30886991423274962</v>
      </c>
      <c r="U32" s="9"/>
    </row>
    <row r="33" spans="1:21" x14ac:dyDescent="0.2">
      <c r="A33" s="75">
        <v>29</v>
      </c>
      <c r="B33" s="3" t="s">
        <v>62</v>
      </c>
      <c r="C33" s="9">
        <v>2.2324183956454649E-2</v>
      </c>
      <c r="D33" s="9">
        <v>2.0115835605721642E-2</v>
      </c>
      <c r="E33" s="9">
        <v>7.369556169818256E-2</v>
      </c>
      <c r="F33" s="9">
        <v>3.616485469213819E-2</v>
      </c>
      <c r="G33" s="9">
        <v>6.7413522703204082E-2</v>
      </c>
      <c r="H33" s="9">
        <v>1.722490553870314E-2</v>
      </c>
      <c r="I33" s="9">
        <v>3.8945066512904324E-2</v>
      </c>
      <c r="J33" s="9">
        <v>1.2843109025881429E-2</v>
      </c>
      <c r="K33" s="9">
        <v>2.8256120669064643E-2</v>
      </c>
      <c r="L33" s="9">
        <v>6.1066493428317423E-2</v>
      </c>
      <c r="M33" s="9">
        <v>0.56097840953606681</v>
      </c>
      <c r="N33" s="9">
        <v>4.3370468107804344E-2</v>
      </c>
      <c r="O33" s="9">
        <v>1.6394920624958096E-2</v>
      </c>
      <c r="P33" s="9">
        <v>3.3429347363017323E-2</v>
      </c>
      <c r="Q33" s="9">
        <v>1.776176505165444E-2</v>
      </c>
      <c r="R33" s="9">
        <v>0.15334116535076053</v>
      </c>
      <c r="S33" s="9">
        <v>0.21062539253237605</v>
      </c>
      <c r="U33" s="9"/>
    </row>
    <row r="34" spans="1:21" x14ac:dyDescent="0.2">
      <c r="A34" s="75">
        <v>30</v>
      </c>
      <c r="B34" s="3" t="s">
        <v>181</v>
      </c>
      <c r="C34" s="9">
        <v>9.3004601233696416E-2</v>
      </c>
      <c r="D34" s="9">
        <v>6.8053132407795522E-2</v>
      </c>
      <c r="E34" s="9">
        <v>7.1128017588189679E-2</v>
      </c>
      <c r="F34" s="9">
        <v>0.11039508487267297</v>
      </c>
      <c r="G34" s="9">
        <v>7.4252206352859063E-2</v>
      </c>
      <c r="H34" s="9">
        <v>2.2466913712770226E-2</v>
      </c>
      <c r="I34" s="9">
        <v>6.8533203227390593E-2</v>
      </c>
      <c r="J34" s="9">
        <v>9.6217385542787637E-2</v>
      </c>
      <c r="K34" s="9">
        <v>5.8347614574810594E-2</v>
      </c>
      <c r="L34" s="9">
        <v>9.7734178257224483E-2</v>
      </c>
      <c r="M34" s="9">
        <v>0.17438494259971246</v>
      </c>
      <c r="N34" s="9">
        <v>5.2921443540740978E-2</v>
      </c>
      <c r="O34" s="9">
        <v>0.11595554707362168</v>
      </c>
      <c r="P34" s="9">
        <v>3.2686258954198744E-2</v>
      </c>
      <c r="Q34" s="9">
        <v>0.14403778775370327</v>
      </c>
      <c r="R34" s="9">
        <v>0.16088680250567955</v>
      </c>
      <c r="S34" s="9">
        <v>0.11070955257169796</v>
      </c>
      <c r="U34" s="9"/>
    </row>
    <row r="35" spans="1:21" x14ac:dyDescent="0.2">
      <c r="A35" s="75">
        <v>31</v>
      </c>
      <c r="B35" s="3" t="s">
        <v>566</v>
      </c>
      <c r="C35" s="9">
        <v>4.30023547269783E-3</v>
      </c>
      <c r="D35" s="9">
        <v>3.7206488929946275E-3</v>
      </c>
      <c r="E35" s="9">
        <v>4.8272378363118798E-3</v>
      </c>
      <c r="F35" s="9">
        <v>4.8272378363118798E-3</v>
      </c>
      <c r="G35" s="9">
        <v>4.8272378363118798E-3</v>
      </c>
      <c r="H35" s="9">
        <v>4.3819715821310961E-3</v>
      </c>
      <c r="I35" s="9">
        <v>4.3819715821310961E-3</v>
      </c>
      <c r="J35" s="9">
        <v>1.4516286709770921E-2</v>
      </c>
      <c r="K35" s="9">
        <v>1.4516286709770921E-2</v>
      </c>
      <c r="L35" s="9">
        <v>1.4516286709770921E-2</v>
      </c>
      <c r="M35" s="9">
        <v>1.4516286709770921E-2</v>
      </c>
      <c r="N35" s="9">
        <v>6.4334672565447976E-2</v>
      </c>
      <c r="O35" s="9">
        <v>6.4334672565447976E-2</v>
      </c>
      <c r="P35" s="9">
        <v>5.6200992635078884E-2</v>
      </c>
      <c r="Q35" s="9">
        <v>5.6200992635078884E-2</v>
      </c>
      <c r="R35" s="9">
        <v>2.4577792848580575E-2</v>
      </c>
      <c r="S35" s="9">
        <v>1.3647041474628065E-2</v>
      </c>
      <c r="U35" s="9"/>
    </row>
    <row r="36" spans="1:21" x14ac:dyDescent="0.2">
      <c r="A36" s="75">
        <v>32</v>
      </c>
      <c r="B36" s="3" t="s">
        <v>567</v>
      </c>
      <c r="C36" s="9">
        <v>0.25350998456087281</v>
      </c>
      <c r="D36" s="9">
        <v>0.21086868445159312</v>
      </c>
      <c r="E36" s="9">
        <v>0.18429412065636902</v>
      </c>
      <c r="F36" s="9">
        <v>0.10879556429815811</v>
      </c>
      <c r="G36" s="9">
        <v>0.29410603735161883</v>
      </c>
      <c r="H36" s="9">
        <v>0.38178288251568099</v>
      </c>
      <c r="I36" s="9">
        <v>0.97307386682285113</v>
      </c>
      <c r="J36" s="9">
        <v>5.6612408821263671E-2</v>
      </c>
      <c r="K36" s="9">
        <v>0.59081013784896375</v>
      </c>
      <c r="L36" s="9">
        <v>0.47843749793590062</v>
      </c>
      <c r="M36" s="9">
        <v>0.29606845815004407</v>
      </c>
      <c r="N36" s="9">
        <v>0.40758602801761207</v>
      </c>
      <c r="O36" s="9">
        <v>0.46131325791160521</v>
      </c>
      <c r="P36" s="9">
        <v>0.49710961573252727</v>
      </c>
      <c r="Q36" s="9">
        <v>0.33899367426506039</v>
      </c>
      <c r="R36" s="9">
        <v>0.65231452736686335</v>
      </c>
      <c r="S36" s="9">
        <v>0.28703357396157098</v>
      </c>
      <c r="U36" s="9"/>
    </row>
    <row r="37" spans="1:21" x14ac:dyDescent="0.2">
      <c r="A37" s="75">
        <v>33</v>
      </c>
      <c r="B37" s="3" t="s">
        <v>568</v>
      </c>
      <c r="C37" s="9">
        <v>1.73031787611388E-2</v>
      </c>
      <c r="D37" s="9">
        <v>1.5680558174143575E-2</v>
      </c>
      <c r="E37" s="9">
        <v>1.240205846623582E-2</v>
      </c>
      <c r="F37" s="9">
        <v>5.1546144268777095E-3</v>
      </c>
      <c r="G37" s="9">
        <v>1.7282907597952386E-2</v>
      </c>
      <c r="H37" s="9">
        <v>7.7336349440862212E-4</v>
      </c>
      <c r="I37" s="9">
        <v>2.4472349362337092E-2</v>
      </c>
      <c r="J37" s="9">
        <v>3.8891623772791595E-2</v>
      </c>
      <c r="K37" s="9">
        <v>3.8891623772791595E-2</v>
      </c>
      <c r="L37" s="9">
        <v>1.2283765574618822E-3</v>
      </c>
      <c r="M37" s="9">
        <v>7.7965214141186524E-3</v>
      </c>
      <c r="N37" s="9">
        <v>1.3532673557568092E-3</v>
      </c>
      <c r="O37" s="9">
        <v>1.669403353732634E-2</v>
      </c>
      <c r="P37" s="9">
        <v>3.4476730374013574E-2</v>
      </c>
      <c r="Q37" s="9">
        <v>5.3280134645083237E-3</v>
      </c>
      <c r="R37" s="9">
        <v>2.8376237998665666E-2</v>
      </c>
      <c r="S37" s="9">
        <v>2.7561775803493081E-2</v>
      </c>
      <c r="U37" s="9"/>
    </row>
    <row r="38" spans="1:21" x14ac:dyDescent="0.2">
      <c r="A38" s="75">
        <v>34</v>
      </c>
      <c r="B38" s="3" t="s">
        <v>630</v>
      </c>
      <c r="C38" s="9">
        <v>0.20718589715270772</v>
      </c>
      <c r="D38" s="9">
        <v>0.21565061558890919</v>
      </c>
      <c r="E38" s="9">
        <v>0.25780032400049302</v>
      </c>
      <c r="F38" s="9">
        <v>0.2579436098138092</v>
      </c>
      <c r="G38" s="9">
        <v>0.2564629661934083</v>
      </c>
      <c r="H38" s="9">
        <v>0.45297823652635238</v>
      </c>
      <c r="I38" s="9">
        <v>0.61429464766349962</v>
      </c>
      <c r="J38" s="9">
        <v>0.33651252393799685</v>
      </c>
      <c r="K38" s="9">
        <v>0.34582027772868179</v>
      </c>
      <c r="L38" s="9">
        <v>0.55448825289902182</v>
      </c>
      <c r="M38" s="9">
        <v>0.48582943751881497</v>
      </c>
      <c r="N38" s="9">
        <v>0.44936789255255155</v>
      </c>
      <c r="O38" s="9">
        <v>0.30753916603845466</v>
      </c>
      <c r="P38" s="9">
        <v>0.49431090952738443</v>
      </c>
      <c r="Q38" s="9">
        <v>0.37905375061862773</v>
      </c>
      <c r="R38" s="9">
        <v>0.26897969074886108</v>
      </c>
      <c r="S38" s="9">
        <v>0.41422604248737049</v>
      </c>
      <c r="U38" s="9"/>
    </row>
    <row r="39" spans="1:21" x14ac:dyDescent="0.2">
      <c r="A39" s="75">
        <v>35</v>
      </c>
      <c r="B39" s="3" t="s">
        <v>631</v>
      </c>
      <c r="C39" s="9">
        <v>2.1242655856115254E-2</v>
      </c>
      <c r="D39" s="9">
        <v>9.0903336070293911E-3</v>
      </c>
      <c r="E39" s="9">
        <v>2.8331165779740673E-2</v>
      </c>
      <c r="F39" s="9">
        <v>1.8669549244314246E-2</v>
      </c>
      <c r="G39" s="9">
        <v>2.808644505803494E-2</v>
      </c>
      <c r="H39" s="9">
        <v>2.5048153956417529E-2</v>
      </c>
      <c r="I39" s="9">
        <v>2.656523535475673E-2</v>
      </c>
      <c r="J39" s="9">
        <v>2.1639454027823114E-2</v>
      </c>
      <c r="K39" s="9">
        <v>2.3748854118120066E-2</v>
      </c>
      <c r="L39" s="9">
        <v>1.6755956691934585E-2</v>
      </c>
      <c r="M39" s="9">
        <v>2.3761649878985512E-2</v>
      </c>
      <c r="N39" s="9">
        <v>2.7851540888323555E-2</v>
      </c>
      <c r="O39" s="9">
        <v>1.5788831295062773E-2</v>
      </c>
      <c r="P39" s="9">
        <v>2.7607529211787205E-3</v>
      </c>
      <c r="Q39" s="9">
        <v>5.4025027241975755E-2</v>
      </c>
      <c r="R39" s="9">
        <v>5.70500525071371E-2</v>
      </c>
      <c r="S39" s="9">
        <v>1.9290978465032416E-2</v>
      </c>
      <c r="U39" s="9"/>
    </row>
    <row r="40" spans="1:21" x14ac:dyDescent="0.2">
      <c r="A40" s="75">
        <v>36</v>
      </c>
      <c r="B40" s="3" t="s">
        <v>348</v>
      </c>
      <c r="C40" s="9">
        <v>0.13387925057366051</v>
      </c>
      <c r="D40" s="9">
        <v>0.1158947031130525</v>
      </c>
      <c r="E40" s="9">
        <v>8.6918996224572553E-2</v>
      </c>
      <c r="F40" s="9">
        <v>0.12578178729307224</v>
      </c>
      <c r="G40" s="9">
        <v>0.12297825144107145</v>
      </c>
      <c r="H40" s="9">
        <v>0.19308992401505201</v>
      </c>
      <c r="I40" s="9">
        <v>0.1823945004828478</v>
      </c>
      <c r="J40" s="9">
        <v>0.14529852093092963</v>
      </c>
      <c r="K40" s="9">
        <v>0.10858304533791642</v>
      </c>
      <c r="L40" s="9">
        <v>6.4285403235328012E-2</v>
      </c>
      <c r="M40" s="9">
        <v>5.0345218099806958E-2</v>
      </c>
      <c r="N40" s="9">
        <v>0.11908316675881368</v>
      </c>
      <c r="O40" s="9">
        <v>0.11010750844144479</v>
      </c>
      <c r="P40" s="9">
        <v>0.20432725691834247</v>
      </c>
      <c r="Q40" s="9">
        <v>0.11464036774567209</v>
      </c>
      <c r="R40" s="9">
        <v>0.10768813081289538</v>
      </c>
      <c r="S40" s="9">
        <v>6.7378707595036794E-2</v>
      </c>
      <c r="U40" s="9"/>
    </row>
    <row r="41" spans="1:21" x14ac:dyDescent="0.2">
      <c r="A41" s="75">
        <v>37</v>
      </c>
      <c r="B41" s="2" t="s">
        <v>582</v>
      </c>
      <c r="C41" s="9">
        <v>0.35207518647500735</v>
      </c>
      <c r="D41" s="9">
        <v>0.34101262341784377</v>
      </c>
      <c r="E41" s="9">
        <v>0.38514006597506451</v>
      </c>
      <c r="F41" s="9">
        <v>0.65254742989610437</v>
      </c>
      <c r="G41" s="9">
        <v>1.0298085228542095</v>
      </c>
      <c r="H41" s="9">
        <v>1.6082428487459115</v>
      </c>
      <c r="I41" s="9">
        <v>1.0768464182944815</v>
      </c>
      <c r="J41" s="9">
        <v>0.81218530821866308</v>
      </c>
      <c r="K41" s="9">
        <v>0.82369011238670042</v>
      </c>
      <c r="L41" s="9">
        <v>0.35299552960845743</v>
      </c>
      <c r="M41" s="9">
        <v>0.2869070723139801</v>
      </c>
      <c r="N41" s="9">
        <v>0.80083258041765704</v>
      </c>
      <c r="O41" s="9">
        <v>0.66473378421663976</v>
      </c>
      <c r="P41" s="9">
        <v>1.0348896847227331</v>
      </c>
      <c r="Q41" s="9">
        <v>0.9832811038646172</v>
      </c>
      <c r="R41" s="9">
        <v>0.50707841991988878</v>
      </c>
      <c r="S41" s="9">
        <v>0.30545556286729153</v>
      </c>
      <c r="U41" s="9"/>
    </row>
    <row r="42" spans="1:21" x14ac:dyDescent="0.2">
      <c r="A42" s="75">
        <v>38</v>
      </c>
      <c r="B42" s="3" t="s">
        <v>349</v>
      </c>
      <c r="C42" s="9">
        <v>0.52608180682658623</v>
      </c>
      <c r="D42" s="9">
        <v>0.45620239071586738</v>
      </c>
      <c r="E42" s="9">
        <v>0.40702904257810374</v>
      </c>
      <c r="F42" s="9">
        <v>0.46354730697490887</v>
      </c>
      <c r="G42" s="9">
        <v>0.70684865371047034</v>
      </c>
      <c r="H42" s="9">
        <v>0.58244141448616726</v>
      </c>
      <c r="I42" s="9">
        <v>0.84492980251562078</v>
      </c>
      <c r="J42" s="9">
        <v>1.0289314354166883</v>
      </c>
      <c r="K42" s="9">
        <v>0.68542709316250461</v>
      </c>
      <c r="L42" s="9">
        <v>0.53267175270857015</v>
      </c>
      <c r="M42" s="9">
        <v>0.37470149376909817</v>
      </c>
      <c r="N42" s="9">
        <v>0.48713684327984347</v>
      </c>
      <c r="O42" s="9">
        <v>0.47861434992408719</v>
      </c>
      <c r="P42" s="9">
        <v>1.0114337975540431</v>
      </c>
      <c r="Q42" s="9">
        <v>0.52092047117659046</v>
      </c>
      <c r="R42" s="9">
        <v>0.32473271864716702</v>
      </c>
      <c r="S42" s="9">
        <v>0.50714763268632124</v>
      </c>
      <c r="U42" s="9"/>
    </row>
    <row r="43" spans="1:21" x14ac:dyDescent="0.2">
      <c r="A43" s="75">
        <v>39</v>
      </c>
      <c r="B43" s="3" t="s">
        <v>350</v>
      </c>
      <c r="C43" s="9">
        <v>0.4112659407267929</v>
      </c>
      <c r="D43" s="9">
        <v>0.54786780446515837</v>
      </c>
      <c r="E43" s="9">
        <v>0.3752666854489618</v>
      </c>
      <c r="F43" s="9">
        <v>0.36443673209289762</v>
      </c>
      <c r="G43" s="9">
        <v>0.45013215367749171</v>
      </c>
      <c r="H43" s="9">
        <v>0.72712233541547444</v>
      </c>
      <c r="I43" s="9">
        <v>1.0392925652854081</v>
      </c>
      <c r="J43" s="9">
        <v>0.99055329020875671</v>
      </c>
      <c r="K43" s="9">
        <v>0.58176877607217559</v>
      </c>
      <c r="L43" s="9">
        <v>0.80480180704479798</v>
      </c>
      <c r="M43" s="9">
        <v>0.67117250421092256</v>
      </c>
      <c r="N43" s="9">
        <v>0.2264289876233623</v>
      </c>
      <c r="O43" s="9">
        <v>0.38913595724605593</v>
      </c>
      <c r="P43" s="9">
        <v>0.46533200307756473</v>
      </c>
      <c r="Q43" s="9">
        <v>0.54256680451699613</v>
      </c>
      <c r="R43" s="9">
        <v>0.6418586589814923</v>
      </c>
      <c r="S43" s="9">
        <v>0.88065965706682703</v>
      </c>
      <c r="U43" s="9"/>
    </row>
    <row r="44" spans="1:21" x14ac:dyDescent="0.2">
      <c r="A44" s="75">
        <v>40</v>
      </c>
      <c r="B44" s="2" t="s">
        <v>583</v>
      </c>
      <c r="C44" s="9">
        <v>0.14111181466305042</v>
      </c>
      <c r="D44" s="9">
        <v>0.11956334542279588</v>
      </c>
      <c r="E44" s="9">
        <v>0.14633237591833612</v>
      </c>
      <c r="F44" s="9">
        <v>0.19776399126909822</v>
      </c>
      <c r="G44" s="9">
        <v>0.21839165231203034</v>
      </c>
      <c r="H44" s="9">
        <v>6.6181274493866113E-2</v>
      </c>
      <c r="I44" s="9">
        <v>0.45436058612161695</v>
      </c>
      <c r="J44" s="9">
        <v>6.3017772621690948E-2</v>
      </c>
      <c r="K44" s="9">
        <v>0.29201675720646186</v>
      </c>
      <c r="L44" s="9">
        <v>0.34211001325984364</v>
      </c>
      <c r="M44" s="9">
        <v>0.48068768035172488</v>
      </c>
      <c r="N44" s="9">
        <v>0.16851520397246617</v>
      </c>
      <c r="O44" s="9">
        <v>0.12789127889807758</v>
      </c>
      <c r="P44" s="9">
        <v>0.28791353938399711</v>
      </c>
      <c r="Q44" s="9">
        <v>0.15323198039318503</v>
      </c>
      <c r="R44" s="9">
        <v>0.46096987607970363</v>
      </c>
      <c r="S44" s="9">
        <v>0.48592942860732896</v>
      </c>
      <c r="U44" s="9"/>
    </row>
    <row r="45" spans="1:21" x14ac:dyDescent="0.2">
      <c r="A45" s="75">
        <v>41</v>
      </c>
      <c r="B45" s="3" t="s">
        <v>351</v>
      </c>
      <c r="C45" s="9">
        <v>1.5427341805632055</v>
      </c>
      <c r="D45" s="9">
        <v>0.92818023003960282</v>
      </c>
      <c r="E45" s="9">
        <v>0.5605147572935455</v>
      </c>
      <c r="F45" s="9">
        <v>0.73798177691769895</v>
      </c>
      <c r="G45" s="9">
        <v>0.65263631634424579</v>
      </c>
      <c r="H45" s="9">
        <v>0.21929016077766508</v>
      </c>
      <c r="I45" s="9">
        <v>0.31932112774760113</v>
      </c>
      <c r="J45" s="9">
        <v>0.71778914133445193</v>
      </c>
      <c r="K45" s="9">
        <v>0.26632567609401231</v>
      </c>
      <c r="L45" s="9">
        <v>0.20564738104011621</v>
      </c>
      <c r="M45" s="9">
        <v>0.38351411259006418</v>
      </c>
      <c r="N45" s="9">
        <v>0.61082660262768385</v>
      </c>
      <c r="O45" s="9">
        <v>0.70435562903954918</v>
      </c>
      <c r="P45" s="9">
        <v>0.49092084885728127</v>
      </c>
      <c r="Q45" s="9">
        <v>0.41393223160461351</v>
      </c>
      <c r="R45" s="9">
        <v>0.17481859022148799</v>
      </c>
      <c r="S45" s="9">
        <v>0.29230982743445799</v>
      </c>
      <c r="U45" s="9"/>
    </row>
    <row r="46" spans="1:21" x14ac:dyDescent="0.2">
      <c r="A46" s="75">
        <v>42</v>
      </c>
      <c r="B46" s="2" t="s">
        <v>584</v>
      </c>
      <c r="C46" s="9">
        <v>0.56958692205806682</v>
      </c>
      <c r="D46" s="9">
        <v>0.56773152168854546</v>
      </c>
      <c r="E46" s="9">
        <v>0.33084172035833714</v>
      </c>
      <c r="F46" s="9">
        <v>0.32620957378262605</v>
      </c>
      <c r="G46" s="9">
        <v>0.32459556187093136</v>
      </c>
      <c r="H46" s="9">
        <v>0.19262631150402559</v>
      </c>
      <c r="I46" s="9">
        <v>0.39117563556837892</v>
      </c>
      <c r="J46" s="9">
        <v>0.30104682156159368</v>
      </c>
      <c r="K46" s="9">
        <v>0.37630858642852233</v>
      </c>
      <c r="L46" s="9">
        <v>0.59486855454005438</v>
      </c>
      <c r="M46" s="9">
        <v>0.96636941735474058</v>
      </c>
      <c r="N46" s="9">
        <v>0.29096499108132745</v>
      </c>
      <c r="O46" s="9">
        <v>0.29032665697554716</v>
      </c>
      <c r="P46" s="9">
        <v>0.28947419809034369</v>
      </c>
      <c r="Q46" s="9">
        <v>0.46844306735927982</v>
      </c>
      <c r="R46" s="9">
        <v>0.60802467821940998</v>
      </c>
      <c r="S46" s="9">
        <v>0.88258040195318299</v>
      </c>
      <c r="U46" s="9"/>
    </row>
    <row r="47" spans="1:21" x14ac:dyDescent="0.2">
      <c r="A47" s="75">
        <v>43</v>
      </c>
      <c r="B47" s="2" t="s">
        <v>230</v>
      </c>
      <c r="C47" s="9">
        <v>0.11467450044154834</v>
      </c>
      <c r="D47" s="9">
        <v>0.18850289799987047</v>
      </c>
      <c r="E47" s="9">
        <v>0.18008741814386869</v>
      </c>
      <c r="F47" s="9">
        <v>0.17153613438534665</v>
      </c>
      <c r="G47" s="9">
        <v>0.20205172883308531</v>
      </c>
      <c r="H47" s="9">
        <v>0.22235201328653062</v>
      </c>
      <c r="I47" s="9">
        <v>0.50262177993557411</v>
      </c>
      <c r="J47" s="9">
        <v>0.45335501292838548</v>
      </c>
      <c r="K47" s="9">
        <v>0.35112848282658526</v>
      </c>
      <c r="L47" s="9">
        <v>0.33398514809806179</v>
      </c>
      <c r="M47" s="9">
        <v>0.29756169710518615</v>
      </c>
      <c r="N47" s="9">
        <v>0.25963668813046925</v>
      </c>
      <c r="O47" s="9">
        <v>0.45759798403255714</v>
      </c>
      <c r="P47" s="9">
        <v>0.26462260713059982</v>
      </c>
      <c r="Q47" s="9">
        <v>0.35712194841285549</v>
      </c>
      <c r="R47" s="9">
        <v>0.23302518317683327</v>
      </c>
      <c r="S47" s="9">
        <v>0.14383249365400444</v>
      </c>
      <c r="U47" s="9"/>
    </row>
    <row r="48" spans="1:21" x14ac:dyDescent="0.2">
      <c r="A48" s="75">
        <v>44</v>
      </c>
      <c r="B48" s="3" t="s">
        <v>352</v>
      </c>
      <c r="C48" s="9">
        <v>0.18215065629069696</v>
      </c>
      <c r="D48" s="9">
        <v>0.14488707779476642</v>
      </c>
      <c r="E48" s="9">
        <v>0.1316577746003724</v>
      </c>
      <c r="F48" s="9">
        <v>7.3690413195294846E-2</v>
      </c>
      <c r="G48" s="9">
        <v>7.6521069226906893E-2</v>
      </c>
      <c r="H48" s="9">
        <v>7.0923267366992962E-2</v>
      </c>
      <c r="I48" s="9">
        <v>0.21160518235544223</v>
      </c>
      <c r="J48" s="9">
        <v>0.15692364975679465</v>
      </c>
      <c r="K48" s="9">
        <v>0.24702487432976836</v>
      </c>
      <c r="L48" s="9">
        <v>0.28398419982957085</v>
      </c>
      <c r="M48" s="9">
        <v>0.5456818812253349</v>
      </c>
      <c r="N48" s="9">
        <v>0.44491155441974134</v>
      </c>
      <c r="O48" s="9">
        <v>0.1110542837574949</v>
      </c>
      <c r="P48" s="9">
        <v>0.31215776781324112</v>
      </c>
      <c r="Q48" s="9">
        <v>0.15575720259022371</v>
      </c>
      <c r="R48" s="9">
        <v>0.34462434119136487</v>
      </c>
      <c r="S48" s="9">
        <v>0.36879614758123053</v>
      </c>
      <c r="U48" s="9"/>
    </row>
    <row r="49" spans="1:21" x14ac:dyDescent="0.2">
      <c r="A49" s="75">
        <v>45</v>
      </c>
      <c r="B49" s="2" t="s">
        <v>176</v>
      </c>
      <c r="C49" s="9">
        <v>2.1450247868698775E-2</v>
      </c>
      <c r="D49" s="9">
        <v>1.6036788040155667E-2</v>
      </c>
      <c r="E49" s="9">
        <v>5.154006540817619E-3</v>
      </c>
      <c r="F49" s="9">
        <v>1.3060715281396391E-2</v>
      </c>
      <c r="G49" s="9">
        <v>1.7603516200564228E-2</v>
      </c>
      <c r="H49" s="9">
        <v>4.3389507774601833E-3</v>
      </c>
      <c r="I49" s="9">
        <v>2.5895530986394834E-2</v>
      </c>
      <c r="J49" s="9">
        <v>3.1010977164457266E-2</v>
      </c>
      <c r="K49" s="9">
        <v>3.1010977164457266E-2</v>
      </c>
      <c r="L49" s="9">
        <v>3.0873174826857183E-2</v>
      </c>
      <c r="M49" s="9">
        <v>8.8501870244727443E-2</v>
      </c>
      <c r="N49" s="9">
        <v>2.9806996288453203E-3</v>
      </c>
      <c r="O49" s="9">
        <v>2.553440297431572E-2</v>
      </c>
      <c r="P49" s="9">
        <v>4.9932186085548856E-2</v>
      </c>
      <c r="Q49" s="9">
        <v>4.0164331607211327E-2</v>
      </c>
      <c r="R49" s="9">
        <v>0.10619320430285129</v>
      </c>
      <c r="S49" s="9">
        <v>8.9152286679624174E-2</v>
      </c>
      <c r="U49" s="9"/>
    </row>
    <row r="50" spans="1:21" x14ac:dyDescent="0.2">
      <c r="A50" s="75">
        <v>46</v>
      </c>
      <c r="B50" s="2" t="s">
        <v>448</v>
      </c>
      <c r="C50" s="9">
        <v>2.4618506860379929E-2</v>
      </c>
      <c r="D50" s="9">
        <v>6.3305143892038425E-3</v>
      </c>
      <c r="E50" s="9">
        <v>3.9317433335518438E-3</v>
      </c>
      <c r="F50" s="9">
        <v>5.3338235366004079E-3</v>
      </c>
      <c r="G50" s="9">
        <v>1.334475935068672E-2</v>
      </c>
      <c r="H50" s="9">
        <v>2.0635878628903582E-2</v>
      </c>
      <c r="I50" s="9">
        <v>2.0635878628903582E-2</v>
      </c>
      <c r="J50" s="9">
        <v>2.0635878628903582E-2</v>
      </c>
      <c r="K50" s="9">
        <v>2.0635878628903582E-2</v>
      </c>
      <c r="L50" s="9">
        <v>2.6917248462274616E-2</v>
      </c>
      <c r="M50" s="9">
        <v>5.5086479258314995E-2</v>
      </c>
      <c r="N50" s="9">
        <v>2.8275043958673795E-3</v>
      </c>
      <c r="O50" s="9">
        <v>8.7135495743967065E-3</v>
      </c>
      <c r="P50" s="9">
        <v>3.378869735112329E-2</v>
      </c>
      <c r="Q50" s="9">
        <v>9.3171626363230762E-3</v>
      </c>
      <c r="R50" s="9">
        <v>2.5385587267092443E-2</v>
      </c>
      <c r="S50" s="9">
        <v>3.6017625580307674E-2</v>
      </c>
      <c r="U50" s="9"/>
    </row>
    <row r="51" spans="1:21" x14ac:dyDescent="0.2">
      <c r="A51" s="75">
        <v>47</v>
      </c>
      <c r="B51" s="3" t="s">
        <v>188</v>
      </c>
      <c r="C51" s="9">
        <v>3.3453466797211469E-3</v>
      </c>
      <c r="D51" s="9">
        <v>1.1076505001520855E-2</v>
      </c>
      <c r="E51" s="9">
        <v>1.5617286308051989E-3</v>
      </c>
      <c r="F51" s="9">
        <v>7.4110850369627224E-3</v>
      </c>
      <c r="G51" s="9">
        <v>1.2384390257799532E-2</v>
      </c>
      <c r="H51" s="9">
        <v>9.2947069740727584E-2</v>
      </c>
      <c r="I51" s="9">
        <v>3.5750280897590997E-2</v>
      </c>
      <c r="J51" s="9">
        <v>2.8395096598827278E-2</v>
      </c>
      <c r="K51" s="9">
        <v>4.8466207071927031E-2</v>
      </c>
      <c r="L51" s="9">
        <v>3.4273127197318523E-2</v>
      </c>
      <c r="M51" s="9">
        <v>4.1338227645516736E-2</v>
      </c>
      <c r="N51" s="9">
        <v>1.2634045516640746E-2</v>
      </c>
      <c r="O51" s="9">
        <v>3.3264154417773237E-2</v>
      </c>
      <c r="P51" s="9">
        <v>2.6614044014823743E-2</v>
      </c>
      <c r="Q51" s="9">
        <v>3.439887401543993E-2</v>
      </c>
      <c r="R51" s="9">
        <v>0.16280178681866864</v>
      </c>
      <c r="S51" s="9">
        <v>7.3254002468290239E-2</v>
      </c>
      <c r="U51" s="9"/>
    </row>
    <row r="52" spans="1:21" x14ac:dyDescent="0.2">
      <c r="A52" s="75">
        <v>48</v>
      </c>
      <c r="B52" s="3" t="s">
        <v>189</v>
      </c>
      <c r="C52" s="9">
        <v>2.5558509383325077E-2</v>
      </c>
      <c r="D52" s="9">
        <v>4.0153359564311292E-2</v>
      </c>
      <c r="E52" s="9">
        <v>4.1956401996835001E-2</v>
      </c>
      <c r="F52" s="9">
        <v>5.2045976333945268E-2</v>
      </c>
      <c r="G52" s="9">
        <v>4.6760594806543258E-2</v>
      </c>
      <c r="H52" s="9">
        <v>2.3977691448748662E-2</v>
      </c>
      <c r="I52" s="9">
        <v>4.3828718514740704E-2</v>
      </c>
      <c r="J52" s="9">
        <v>4.4950033959170119E-2</v>
      </c>
      <c r="K52" s="9">
        <v>6.0471727878328121E-2</v>
      </c>
      <c r="L52" s="9">
        <v>4.9671645138893591E-2</v>
      </c>
      <c r="M52" s="9">
        <v>5.931743052237206E-2</v>
      </c>
      <c r="N52" s="9">
        <v>7.6470535431139401E-3</v>
      </c>
      <c r="O52" s="9">
        <v>7.5397432431892489E-3</v>
      </c>
      <c r="P52" s="9">
        <v>1.0383663116937029E-2</v>
      </c>
      <c r="Q52" s="9">
        <v>5.953392787405197E-2</v>
      </c>
      <c r="R52" s="9">
        <v>8.0031828813621309E-2</v>
      </c>
      <c r="S52" s="9">
        <v>9.6703931881637187E-2</v>
      </c>
      <c r="U52" s="9"/>
    </row>
    <row r="53" spans="1:21" x14ac:dyDescent="0.2">
      <c r="A53" s="75">
        <v>49</v>
      </c>
      <c r="B53" s="2" t="s">
        <v>155</v>
      </c>
      <c r="C53" s="9">
        <v>4.2819107352632849E-2</v>
      </c>
      <c r="D53" s="9">
        <v>4.5909123996706838E-2</v>
      </c>
      <c r="E53" s="9">
        <v>4.3513444481936503E-2</v>
      </c>
      <c r="F53" s="9">
        <v>5.3027961969549384E-2</v>
      </c>
      <c r="G53" s="9">
        <v>9.7301845315758348E-2</v>
      </c>
      <c r="H53" s="9">
        <v>4.6522370934382315E-2</v>
      </c>
      <c r="I53" s="9">
        <v>4.3953629826878816E-2</v>
      </c>
      <c r="J53" s="9">
        <v>6.3941080010871093E-2</v>
      </c>
      <c r="K53" s="9">
        <v>7.7186604447658208E-2</v>
      </c>
      <c r="L53" s="9">
        <v>0.33137137953699047</v>
      </c>
      <c r="M53" s="9">
        <v>0.24379804469319438</v>
      </c>
      <c r="N53" s="9">
        <v>4.7395070817896894E-2</v>
      </c>
      <c r="O53" s="9">
        <v>4.9828962396021775E-2</v>
      </c>
      <c r="P53" s="9">
        <v>2.9178232925902815E-2</v>
      </c>
      <c r="Q53" s="9">
        <v>0.16426931094480582</v>
      </c>
      <c r="R53" s="9">
        <v>0.28087045879126699</v>
      </c>
      <c r="S53" s="9">
        <v>0.35317659112203431</v>
      </c>
      <c r="U53" s="9"/>
    </row>
    <row r="54" spans="1:21" x14ac:dyDescent="0.2">
      <c r="A54" s="75">
        <v>50</v>
      </c>
      <c r="B54" s="2" t="s">
        <v>48</v>
      </c>
      <c r="C54" s="9">
        <v>4.5574683024998099E-2</v>
      </c>
      <c r="D54" s="9">
        <v>1.6535995092353404E-2</v>
      </c>
      <c r="E54" s="9">
        <v>1.7696900129740577E-2</v>
      </c>
      <c r="F54" s="9">
        <v>1.5642936696180786E-2</v>
      </c>
      <c r="G54" s="9">
        <v>6.6266805823739557E-3</v>
      </c>
      <c r="H54" s="9">
        <v>7.9171498047762353E-3</v>
      </c>
      <c r="I54" s="9">
        <v>0.13479094647030487</v>
      </c>
      <c r="J54" s="9">
        <v>5.0042032129880031E-2</v>
      </c>
      <c r="K54" s="9">
        <v>5.0042032129880031E-2</v>
      </c>
      <c r="L54" s="9">
        <v>5.6474307534305934E-2</v>
      </c>
      <c r="M54" s="9">
        <v>3.2356477631752423E-2</v>
      </c>
      <c r="N54" s="9">
        <v>1.4848504442487073E-2</v>
      </c>
      <c r="O54" s="9">
        <v>3.825791215212835E-2</v>
      </c>
      <c r="P54" s="9">
        <v>2.1898617902328863E-2</v>
      </c>
      <c r="Q54" s="9">
        <v>2.45025311620332E-2</v>
      </c>
      <c r="R54" s="9">
        <v>0.2289766367173561</v>
      </c>
      <c r="S54" s="9">
        <v>1.5244486269250276E-3</v>
      </c>
      <c r="U54" s="9"/>
    </row>
    <row r="55" spans="1:21" x14ac:dyDescent="0.2">
      <c r="A55" s="75">
        <v>51</v>
      </c>
      <c r="B55" s="3" t="s">
        <v>190</v>
      </c>
      <c r="C55" s="9">
        <v>0.12649768953603413</v>
      </c>
      <c r="D55" s="9">
        <v>0.12767162406730648</v>
      </c>
      <c r="E55" s="9">
        <v>0.19690170598543447</v>
      </c>
      <c r="F55" s="9">
        <v>0.11291644883559546</v>
      </c>
      <c r="G55" s="9">
        <v>0.26207088755986857</v>
      </c>
      <c r="H55" s="9">
        <v>0.18560970281351669</v>
      </c>
      <c r="I55" s="9">
        <v>0.4363629017656272</v>
      </c>
      <c r="J55" s="9">
        <v>0.31368281896662337</v>
      </c>
      <c r="K55" s="9">
        <v>0.47022684919438235</v>
      </c>
      <c r="L55" s="9">
        <v>0.53709099732400878</v>
      </c>
      <c r="M55" s="9">
        <v>0.5696394439368121</v>
      </c>
      <c r="N55" s="9">
        <v>0.3115486233516474</v>
      </c>
      <c r="O55" s="9">
        <v>0.18751697909781556</v>
      </c>
      <c r="P55" s="9">
        <v>0.32884431726170382</v>
      </c>
      <c r="Q55" s="9">
        <v>0.26920522616560666</v>
      </c>
      <c r="R55" s="9">
        <v>0.67332610420044259</v>
      </c>
      <c r="S55" s="9">
        <v>0.82220571175514578</v>
      </c>
      <c r="U55" s="9"/>
    </row>
    <row r="56" spans="1:21" x14ac:dyDescent="0.2">
      <c r="A56" s="75">
        <v>52</v>
      </c>
      <c r="B56" s="3" t="s">
        <v>191</v>
      </c>
      <c r="C56" s="9">
        <v>6.299792094978568E-2</v>
      </c>
      <c r="D56" s="9">
        <v>6.2226917815177168E-2</v>
      </c>
      <c r="E56" s="9">
        <v>6.9125231372148516E-2</v>
      </c>
      <c r="F56" s="9">
        <v>4.4206631004585439E-2</v>
      </c>
      <c r="G56" s="9">
        <v>3.0530029386628008E-2</v>
      </c>
      <c r="H56" s="9">
        <v>6.7488365904174868E-2</v>
      </c>
      <c r="I56" s="9">
        <v>0.16651349678797961</v>
      </c>
      <c r="J56" s="9">
        <v>0.14454169864058272</v>
      </c>
      <c r="K56" s="9">
        <v>0.21411294782445789</v>
      </c>
      <c r="L56" s="9">
        <v>0.31813195980504683</v>
      </c>
      <c r="M56" s="9">
        <v>0.18858346915112886</v>
      </c>
      <c r="N56" s="9">
        <v>3.3487293713226805E-2</v>
      </c>
      <c r="O56" s="9">
        <v>0.13483617378973103</v>
      </c>
      <c r="P56" s="9">
        <v>2.0037712702403135E-2</v>
      </c>
      <c r="Q56" s="9">
        <v>0.13458445921805592</v>
      </c>
      <c r="R56" s="9">
        <v>0.33124667797731455</v>
      </c>
      <c r="S56" s="9">
        <v>0.26636118923739466</v>
      </c>
      <c r="U56" s="9"/>
    </row>
    <row r="57" spans="1:21" x14ac:dyDescent="0.2">
      <c r="A57" s="75">
        <v>53</v>
      </c>
      <c r="B57" s="2" t="s">
        <v>422</v>
      </c>
      <c r="C57" s="9">
        <v>2.9208768435871012E-2</v>
      </c>
      <c r="D57" s="9">
        <v>1.2548278634446219E-2</v>
      </c>
      <c r="E57" s="9">
        <v>1.0873259644509808E-2</v>
      </c>
      <c r="F57" s="9">
        <v>1.0873259644509808E-2</v>
      </c>
      <c r="G57" s="9">
        <v>4.3286766034223927E-2</v>
      </c>
      <c r="H57" s="9">
        <v>1.2929341049818758E-3</v>
      </c>
      <c r="I57" s="9">
        <v>4.3163670011119398E-2</v>
      </c>
      <c r="J57" s="9">
        <v>8.6779414979549427E-3</v>
      </c>
      <c r="K57" s="9">
        <v>6.838131773880976E-2</v>
      </c>
      <c r="L57" s="9">
        <v>8.5488478135601065E-2</v>
      </c>
      <c r="M57" s="9">
        <v>0.1802524518701516</v>
      </c>
      <c r="N57" s="9">
        <v>1.0382020977095478E-2</v>
      </c>
      <c r="O57" s="9">
        <v>4.3744928878116769E-2</v>
      </c>
      <c r="P57" s="9">
        <v>1.3162333943201128E-2</v>
      </c>
      <c r="Q57" s="9">
        <v>3.9789558196868892E-2</v>
      </c>
      <c r="R57" s="9">
        <v>0.13833127544481336</v>
      </c>
      <c r="S57" s="9">
        <v>0.16920075405503965</v>
      </c>
      <c r="U57" s="9"/>
    </row>
    <row r="58" spans="1:21" x14ac:dyDescent="0.2">
      <c r="A58" s="75">
        <v>54</v>
      </c>
      <c r="B58" s="3" t="s">
        <v>192</v>
      </c>
      <c r="C58" s="9">
        <v>2.4586843371823916E-2</v>
      </c>
      <c r="D58" s="9">
        <v>2.6580561141559947E-2</v>
      </c>
      <c r="E58" s="9">
        <v>1.527444421833557E-2</v>
      </c>
      <c r="F58" s="9">
        <v>1.6242097044737162E-2</v>
      </c>
      <c r="G58" s="9">
        <v>2.0910957366164634E-2</v>
      </c>
      <c r="H58" s="9">
        <v>6.0859594091614476E-2</v>
      </c>
      <c r="I58" s="9">
        <v>6.0859594091614476E-2</v>
      </c>
      <c r="J58" s="9">
        <v>4.8151318265034611E-2</v>
      </c>
      <c r="K58" s="9">
        <v>5.337968369062545E-2</v>
      </c>
      <c r="L58" s="9">
        <v>1.2781415614936635E-2</v>
      </c>
      <c r="M58" s="9">
        <v>2.4925146502873138E-2</v>
      </c>
      <c r="N58" s="9">
        <v>6.0427130136223193E-3</v>
      </c>
      <c r="O58" s="9">
        <v>1.554905993450712E-3</v>
      </c>
      <c r="P58" s="9">
        <v>0.11672344315465928</v>
      </c>
      <c r="Q58" s="9">
        <v>8.7060675321966083E-2</v>
      </c>
      <c r="R58" s="9">
        <v>5.2453136026384566E-2</v>
      </c>
      <c r="S58" s="9">
        <v>3.1717902340382201E-2</v>
      </c>
      <c r="U58" s="9"/>
    </row>
    <row r="59" spans="1:21" x14ac:dyDescent="0.2">
      <c r="A59" s="75">
        <v>55</v>
      </c>
      <c r="B59" s="2" t="s">
        <v>49</v>
      </c>
      <c r="C59" s="9">
        <v>5.4503089662358402E-2</v>
      </c>
      <c r="D59" s="9">
        <v>7.9729610594182723E-2</v>
      </c>
      <c r="E59" s="9">
        <v>9.3932491401441706E-2</v>
      </c>
      <c r="F59" s="9">
        <v>0.12035203395554221</v>
      </c>
      <c r="G59" s="9">
        <v>0.15020087280783978</v>
      </c>
      <c r="H59" s="9">
        <v>0.22361917085498725</v>
      </c>
      <c r="I59" s="9">
        <v>0.3975732734084973</v>
      </c>
      <c r="J59" s="9">
        <v>0.26297740201135567</v>
      </c>
      <c r="K59" s="9">
        <v>0.314597417739786</v>
      </c>
      <c r="L59" s="9">
        <v>0.3855785347919003</v>
      </c>
      <c r="M59" s="9">
        <v>0.3414018140677969</v>
      </c>
      <c r="N59" s="9">
        <v>0.13392617231693218</v>
      </c>
      <c r="O59" s="9">
        <v>0.26115682179225458</v>
      </c>
      <c r="P59" s="9">
        <v>0.37704494379833248</v>
      </c>
      <c r="Q59" s="9">
        <v>0.26525269620945635</v>
      </c>
      <c r="R59" s="9">
        <v>0.32189023517613152</v>
      </c>
      <c r="S59" s="9">
        <v>0.30311995281465337</v>
      </c>
      <c r="U59" s="9"/>
    </row>
    <row r="60" spans="1:21" x14ac:dyDescent="0.2">
      <c r="A60" s="75">
        <v>56</v>
      </c>
      <c r="B60" s="2" t="s">
        <v>50</v>
      </c>
      <c r="C60" s="9">
        <v>0.1997474431151752</v>
      </c>
      <c r="D60" s="9">
        <v>0.45534454568606086</v>
      </c>
      <c r="E60" s="9">
        <v>0.38151026127465199</v>
      </c>
      <c r="F60" s="9">
        <v>0.214696447566253</v>
      </c>
      <c r="G60" s="9">
        <v>0.32164737442959518</v>
      </c>
      <c r="H60" s="9">
        <v>0.38533459177281193</v>
      </c>
      <c r="I60" s="9">
        <v>1.8457043373799127</v>
      </c>
      <c r="J60" s="9">
        <v>1.0695298891383609</v>
      </c>
      <c r="K60" s="9">
        <v>4.4038547721496819</v>
      </c>
      <c r="L60" s="9">
        <v>7.5208878097262959</v>
      </c>
      <c r="M60" s="9">
        <v>6.0336192863209774</v>
      </c>
      <c r="N60" s="9">
        <v>0.79468290018674426</v>
      </c>
      <c r="O60" s="9">
        <v>0.72565895100468536</v>
      </c>
      <c r="P60" s="9">
        <v>0.3304420289424212</v>
      </c>
      <c r="Q60" s="9">
        <v>4.170125695621417</v>
      </c>
      <c r="R60" s="9">
        <v>7.2630953375324552</v>
      </c>
      <c r="S60" s="9">
        <v>6.849643893196907</v>
      </c>
      <c r="U60" s="9"/>
    </row>
    <row r="61" spans="1:21" x14ac:dyDescent="0.2">
      <c r="A61" s="75">
        <v>57</v>
      </c>
      <c r="B61" s="2" t="s">
        <v>51</v>
      </c>
      <c r="C61" s="9">
        <v>1.6197315051766354</v>
      </c>
      <c r="D61" s="9">
        <v>2.0674685412410074</v>
      </c>
      <c r="E61" s="9">
        <v>2.566920243934212</v>
      </c>
      <c r="F61" s="9">
        <v>2.8653370565613274</v>
      </c>
      <c r="G61" s="9">
        <v>3.9515207339352312</v>
      </c>
      <c r="H61" s="9">
        <v>4.8032289346312407</v>
      </c>
      <c r="I61" s="9">
        <v>9.923030254766525</v>
      </c>
      <c r="J61" s="9">
        <v>9.8748956702914601</v>
      </c>
      <c r="K61" s="9">
        <v>7.0514122745484533</v>
      </c>
      <c r="L61" s="9">
        <v>3.7970658049054666</v>
      </c>
      <c r="M61" s="9">
        <v>2.2245123513956657</v>
      </c>
      <c r="N61" s="9">
        <v>4.7399347546485533</v>
      </c>
      <c r="O61" s="9">
        <v>6.3361300830818292</v>
      </c>
      <c r="P61" s="9">
        <v>8.5954409900757369</v>
      </c>
      <c r="Q61" s="9">
        <v>6.6935817642030022</v>
      </c>
      <c r="R61" s="9">
        <v>2.9030451117705165</v>
      </c>
      <c r="S61" s="9">
        <v>1.1734377323958336</v>
      </c>
      <c r="U61" s="9"/>
    </row>
    <row r="62" spans="1:21" x14ac:dyDescent="0.2">
      <c r="A62" s="75">
        <v>58</v>
      </c>
      <c r="B62" s="3" t="s">
        <v>193</v>
      </c>
      <c r="C62" s="9">
        <v>0.2694857937071215</v>
      </c>
      <c r="D62" s="9">
        <v>0.10449814293843694</v>
      </c>
      <c r="E62" s="9">
        <v>0.13101226527703727</v>
      </c>
      <c r="F62" s="9">
        <v>0.15596535244236986</v>
      </c>
      <c r="G62" s="9">
        <v>0.23541321139114271</v>
      </c>
      <c r="H62" s="9">
        <v>0.45165534477373581</v>
      </c>
      <c r="I62" s="9">
        <v>0.69000450122175527</v>
      </c>
      <c r="J62" s="9">
        <v>1.5385759223472579</v>
      </c>
      <c r="K62" s="9">
        <v>0.84070840172363748</v>
      </c>
      <c r="L62" s="9">
        <v>1.6776448226324092</v>
      </c>
      <c r="M62" s="9">
        <v>0.52211866372566962</v>
      </c>
      <c r="N62" s="9">
        <v>0.15196586682193927</v>
      </c>
      <c r="O62" s="9">
        <v>0.44390976372770419</v>
      </c>
      <c r="P62" s="9">
        <v>0.40495818939172706</v>
      </c>
      <c r="Q62" s="9">
        <v>1.2011169707284224</v>
      </c>
      <c r="R62" s="9">
        <v>1.894078959432185</v>
      </c>
      <c r="S62" s="9">
        <v>0.65644104085077293</v>
      </c>
      <c r="U62" s="9"/>
    </row>
    <row r="63" spans="1:21" x14ac:dyDescent="0.2">
      <c r="A63" s="75">
        <v>59</v>
      </c>
      <c r="B63" s="2" t="s">
        <v>326</v>
      </c>
      <c r="C63" s="9">
        <v>0.16205400743983708</v>
      </c>
      <c r="D63" s="9">
        <v>0.15701973043797196</v>
      </c>
      <c r="E63" s="9">
        <v>0.23155535580607689</v>
      </c>
      <c r="F63" s="9">
        <v>0.19997222653820135</v>
      </c>
      <c r="G63" s="9">
        <v>0.38329015293479302</v>
      </c>
      <c r="H63" s="9">
        <v>0.31132255618767757</v>
      </c>
      <c r="I63" s="9">
        <v>0.36926000804746884</v>
      </c>
      <c r="J63" s="9">
        <v>0.31618484370094996</v>
      </c>
      <c r="K63" s="9">
        <v>0.2469466587282734</v>
      </c>
      <c r="L63" s="9">
        <v>0.24777122314821992</v>
      </c>
      <c r="M63" s="9">
        <v>0.19904237818977585</v>
      </c>
      <c r="N63" s="9">
        <v>0.40742465785067827</v>
      </c>
      <c r="O63" s="9">
        <v>0.2672564786876569</v>
      </c>
      <c r="P63" s="9">
        <v>0.35443750655749212</v>
      </c>
      <c r="Q63" s="9">
        <v>0.24661379372519179</v>
      </c>
      <c r="R63" s="9">
        <v>0.21266981968232967</v>
      </c>
      <c r="S63" s="9">
        <v>0.18777427948078457</v>
      </c>
      <c r="U63" s="9"/>
    </row>
    <row r="64" spans="1:21" x14ac:dyDescent="0.2">
      <c r="Q64" s="40">
        <f>SUM(Q6:Q63)</f>
        <v>23.488709741337864</v>
      </c>
    </row>
  </sheetData>
  <mergeCells count="3">
    <mergeCell ref="C3:G3"/>
    <mergeCell ref="H3:M3"/>
    <mergeCell ref="N3:S3"/>
  </mergeCells>
  <phoneticPr fontId="3" type="noConversion"/>
  <pageMargins left="0.75" right="0.75" top="1" bottom="1" header="0.5" footer="0.5"/>
  <pageSetup paperSize="0" orientation="portrait" horizontalDpi="4294967292" verticalDpi="429496729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T69"/>
  <sheetViews>
    <sheetView workbookViewId="0">
      <pane xSplit="2" ySplit="4" topLeftCell="C5" activePane="bottomRight" state="frozen"/>
      <selection sqref="A1:U1"/>
      <selection pane="topRight" sqref="A1:U1"/>
      <selection pane="bottomLeft" sqref="A1:U1"/>
      <selection pane="bottomRight" activeCell="A5" sqref="A5:XFD5"/>
    </sheetView>
  </sheetViews>
  <sheetFormatPr defaultColWidth="8.7109375" defaultRowHeight="12.75" x14ac:dyDescent="0.2"/>
  <cols>
    <col min="1" max="1" width="8.7109375" style="20" hidden="1" customWidth="1"/>
    <col min="2" max="2" width="14" style="20" customWidth="1"/>
    <col min="3" max="19" width="10.42578125" style="20" customWidth="1"/>
    <col min="20" max="20" width="24.42578125" style="20" customWidth="1"/>
    <col min="21" max="22" width="9.42578125" style="20" customWidth="1"/>
    <col min="23" max="24" width="10.140625" style="20" customWidth="1"/>
    <col min="25" max="25" width="10.7109375" style="20" customWidth="1"/>
    <col min="26" max="26" width="11" style="20" customWidth="1"/>
    <col min="27" max="27" width="10.28515625" style="20" customWidth="1"/>
    <col min="28" max="28" width="9.42578125" style="20" customWidth="1"/>
    <col min="29" max="29" width="11.140625" style="20" customWidth="1"/>
    <col min="30" max="30" width="11" style="20" customWidth="1"/>
    <col min="31" max="32" width="10.42578125" style="20" customWidth="1"/>
    <col min="33" max="33" width="10.85546875" style="20" customWidth="1"/>
    <col min="34" max="34" width="10.42578125" style="20" customWidth="1"/>
    <col min="35" max="35" width="11" style="20" customWidth="1"/>
    <col min="36" max="37" width="10.42578125" style="20" customWidth="1"/>
    <col min="38" max="38" width="8.7109375" style="20"/>
    <col min="39" max="39" width="10.85546875" style="20" customWidth="1"/>
    <col min="40" max="40" width="18.140625" style="20" customWidth="1"/>
    <col min="41" max="16384" width="8.7109375" style="20"/>
  </cols>
  <sheetData>
    <row r="1" spans="1:46" ht="15.75" x14ac:dyDescent="0.25">
      <c r="B1" s="63" t="s">
        <v>116</v>
      </c>
      <c r="U1" s="65" t="s">
        <v>269</v>
      </c>
    </row>
    <row r="2" spans="1:46" ht="15.75" x14ac:dyDescent="0.25">
      <c r="B2" s="63" t="s">
        <v>526</v>
      </c>
      <c r="U2" s="67" t="s">
        <v>527</v>
      </c>
      <c r="W2" s="64"/>
      <c r="X2" s="64"/>
      <c r="AQ2" s="192" t="s">
        <v>364</v>
      </c>
    </row>
    <row r="3" spans="1:46" s="14" customFormat="1" ht="15.75" x14ac:dyDescent="0.25">
      <c r="B3" s="10"/>
      <c r="C3" s="484" t="s">
        <v>79</v>
      </c>
      <c r="D3" s="485"/>
      <c r="E3" s="485"/>
      <c r="F3" s="485"/>
      <c r="G3" s="485"/>
      <c r="H3" s="484" t="s">
        <v>44</v>
      </c>
      <c r="I3" s="485"/>
      <c r="J3" s="485"/>
      <c r="K3" s="485"/>
      <c r="L3" s="485"/>
      <c r="M3" s="485"/>
      <c r="N3" s="484" t="s">
        <v>45</v>
      </c>
      <c r="O3" s="485"/>
      <c r="P3" s="485"/>
      <c r="Q3" s="485"/>
      <c r="R3" s="485"/>
      <c r="S3" s="485"/>
      <c r="U3" s="484" t="s">
        <v>79</v>
      </c>
      <c r="V3" s="485"/>
      <c r="W3" s="485"/>
      <c r="X3" s="485"/>
      <c r="Y3" s="485"/>
      <c r="Z3" s="484" t="s">
        <v>44</v>
      </c>
      <c r="AA3" s="485"/>
      <c r="AB3" s="485"/>
      <c r="AC3" s="485"/>
      <c r="AD3" s="485"/>
      <c r="AE3" s="485"/>
      <c r="AF3" s="484" t="s">
        <v>45</v>
      </c>
      <c r="AG3" s="485"/>
      <c r="AH3" s="485"/>
      <c r="AI3" s="485"/>
      <c r="AJ3" s="485"/>
      <c r="AK3" s="485"/>
      <c r="AM3" s="3" t="s">
        <v>381</v>
      </c>
      <c r="AN3"/>
      <c r="AO3"/>
      <c r="AQ3" s="192" t="s">
        <v>214</v>
      </c>
      <c r="AR3" s="20">
        <f>HLOOKUP(TFP!$C$14,'Model results and default value'!$U$5:$AK$67,$A67,FALSE)/AO67</f>
        <v>0.73428540689137234</v>
      </c>
    </row>
    <row r="4" spans="1:46" s="14" customFormat="1" x14ac:dyDescent="0.2">
      <c r="B4" s="15" t="s">
        <v>591</v>
      </c>
      <c r="C4" s="13" t="s">
        <v>514</v>
      </c>
      <c r="D4" s="13" t="s">
        <v>515</v>
      </c>
      <c r="E4" s="13" t="s">
        <v>516</v>
      </c>
      <c r="F4" s="13" t="s">
        <v>517</v>
      </c>
      <c r="G4" s="13" t="s">
        <v>518</v>
      </c>
      <c r="H4" s="13" t="s">
        <v>519</v>
      </c>
      <c r="I4" s="13" t="s">
        <v>16</v>
      </c>
      <c r="J4" s="13" t="s">
        <v>520</v>
      </c>
      <c r="K4" s="335" t="s">
        <v>662</v>
      </c>
      <c r="L4" s="13" t="s">
        <v>522</v>
      </c>
      <c r="M4" s="13" t="s">
        <v>523</v>
      </c>
      <c r="N4" s="13" t="s">
        <v>519</v>
      </c>
      <c r="O4" s="13" t="s">
        <v>16</v>
      </c>
      <c r="P4" s="13" t="s">
        <v>520</v>
      </c>
      <c r="Q4" s="335" t="s">
        <v>662</v>
      </c>
      <c r="R4" s="13" t="s">
        <v>522</v>
      </c>
      <c r="S4" s="13" t="s">
        <v>523</v>
      </c>
      <c r="U4" s="13" t="s">
        <v>514</v>
      </c>
      <c r="V4" s="13" t="s">
        <v>515</v>
      </c>
      <c r="W4" s="13" t="s">
        <v>516</v>
      </c>
      <c r="X4" s="13" t="s">
        <v>517</v>
      </c>
      <c r="Y4" s="13" t="s">
        <v>518</v>
      </c>
      <c r="Z4" s="13" t="s">
        <v>519</v>
      </c>
      <c r="AA4" s="13" t="s">
        <v>16</v>
      </c>
      <c r="AB4" s="13" t="s">
        <v>520</v>
      </c>
      <c r="AC4" s="335" t="s">
        <v>662</v>
      </c>
      <c r="AD4" s="13" t="s">
        <v>522</v>
      </c>
      <c r="AE4" s="13" t="s">
        <v>523</v>
      </c>
      <c r="AF4" s="13" t="s">
        <v>519</v>
      </c>
      <c r="AG4" s="13" t="s">
        <v>16</v>
      </c>
      <c r="AH4" s="13" t="s">
        <v>520</v>
      </c>
      <c r="AI4" s="335" t="s">
        <v>662</v>
      </c>
      <c r="AJ4" s="13" t="s">
        <v>522</v>
      </c>
      <c r="AK4" s="13" t="s">
        <v>523</v>
      </c>
      <c r="AM4" s="74" t="s">
        <v>509</v>
      </c>
      <c r="AN4" s="74" t="s">
        <v>576</v>
      </c>
      <c r="AO4" s="74" t="s">
        <v>575</v>
      </c>
      <c r="AQ4" s="192" t="s">
        <v>368</v>
      </c>
      <c r="AR4" s="192"/>
      <c r="AS4" s="192"/>
      <c r="AT4" s="192"/>
    </row>
    <row r="5" spans="1:46" customFormat="1" hidden="1" x14ac:dyDescent="0.2">
      <c r="B5" s="8"/>
      <c r="C5" t="s">
        <v>397</v>
      </c>
      <c r="D5" t="s">
        <v>401</v>
      </c>
      <c r="E5" t="s">
        <v>398</v>
      </c>
      <c r="F5" t="s">
        <v>399</v>
      </c>
      <c r="G5" t="s">
        <v>405</v>
      </c>
      <c r="H5" t="s">
        <v>402</v>
      </c>
      <c r="I5" t="s">
        <v>257</v>
      </c>
      <c r="J5" t="s">
        <v>258</v>
      </c>
      <c r="K5" t="s">
        <v>259</v>
      </c>
      <c r="L5" t="s">
        <v>260</v>
      </c>
      <c r="M5" t="s">
        <v>110</v>
      </c>
      <c r="N5" t="s">
        <v>261</v>
      </c>
      <c r="O5" t="s">
        <v>196</v>
      </c>
      <c r="P5" t="s">
        <v>262</v>
      </c>
      <c r="Q5" t="s">
        <v>421</v>
      </c>
      <c r="R5" t="s">
        <v>231</v>
      </c>
      <c r="S5" t="s">
        <v>109</v>
      </c>
      <c r="U5" t="s">
        <v>397</v>
      </c>
      <c r="V5" t="s">
        <v>401</v>
      </c>
      <c r="W5" t="s">
        <v>398</v>
      </c>
      <c r="X5" t="s">
        <v>399</v>
      </c>
      <c r="Y5" t="s">
        <v>405</v>
      </c>
      <c r="Z5" t="s">
        <v>402</v>
      </c>
      <c r="AA5" t="s">
        <v>257</v>
      </c>
      <c r="AB5" t="s">
        <v>258</v>
      </c>
      <c r="AC5" s="332" t="s">
        <v>654</v>
      </c>
      <c r="AD5" t="s">
        <v>260</v>
      </c>
      <c r="AE5" t="s">
        <v>110</v>
      </c>
      <c r="AF5" t="s">
        <v>261</v>
      </c>
      <c r="AG5" t="s">
        <v>196</v>
      </c>
      <c r="AH5" t="s">
        <v>262</v>
      </c>
      <c r="AI5" s="332" t="s">
        <v>655</v>
      </c>
      <c r="AJ5" t="s">
        <v>231</v>
      </c>
      <c r="AK5" t="s">
        <v>109</v>
      </c>
    </row>
    <row r="6" spans="1:46" x14ac:dyDescent="0.2">
      <c r="A6" s="75">
        <v>2</v>
      </c>
      <c r="B6" s="2" t="s">
        <v>577</v>
      </c>
      <c r="C6" s="21">
        <v>7.1058061312167992E-2</v>
      </c>
      <c r="D6" s="21">
        <v>4.3362761911696204E-2</v>
      </c>
      <c r="E6" s="21">
        <v>5.9325987586540596E-3</v>
      </c>
      <c r="F6" s="21">
        <v>7.6220583920636936E-2</v>
      </c>
      <c r="G6" s="21">
        <v>6.5957820485773189E-3</v>
      </c>
      <c r="H6" s="21">
        <v>6.7196896272078083E-3</v>
      </c>
      <c r="I6" s="21">
        <v>1.6911763540537064E-4</v>
      </c>
      <c r="J6" s="21">
        <v>1.6074101988542024</v>
      </c>
      <c r="K6" s="21">
        <v>8.0913030237721336E-4</v>
      </c>
      <c r="L6" s="21">
        <v>9.7053176138362243E-2</v>
      </c>
      <c r="M6" s="21">
        <v>6.7897186151099128E-3</v>
      </c>
      <c r="N6" s="21">
        <v>7.6980756562302342E-4</v>
      </c>
      <c r="O6" s="21">
        <v>1.777464388317241E-2</v>
      </c>
      <c r="P6" s="21">
        <v>6.5067421852299176E-3</v>
      </c>
      <c r="Q6">
        <v>1.4391270912791252E-3</v>
      </c>
      <c r="R6" s="21">
        <v>7.5178205749459716E-3</v>
      </c>
      <c r="S6" s="21">
        <v>4.3908436606044307E-3</v>
      </c>
      <c r="T6" s="3"/>
      <c r="U6" s="21">
        <f>C6*30.4*cost!C7</f>
        <v>0.21276787869144934</v>
      </c>
      <c r="V6" s="21">
        <f>D6*30.4*cost!D7</f>
        <v>0.14206764936809838</v>
      </c>
      <c r="W6" s="21">
        <f>E6*30.4*cost!E7</f>
        <v>2.0279307754442921E-2</v>
      </c>
      <c r="X6" s="21">
        <f>F6*30.4*cost!F7</f>
        <v>0.27784504912559477</v>
      </c>
      <c r="Y6" s="21">
        <f>G6*30.4*cost!G7</f>
        <v>2.066626809399412E-2</v>
      </c>
      <c r="Z6" s="21">
        <f>H6*30.4*cost!H7</f>
        <v>2.1150640852178954E-2</v>
      </c>
      <c r="AA6" s="21">
        <f>I6*30.4*cost!I7</f>
        <v>5.6532840398859988E-4</v>
      </c>
      <c r="AB6" s="21">
        <f>J6*30.4*cost!J7</f>
        <v>0</v>
      </c>
      <c r="AC6" s="21">
        <f>K6*30.4*cost!K7</f>
        <v>3.3466811284463389E-3</v>
      </c>
      <c r="AD6" s="21">
        <f>L6*30.4*cost!L7</f>
        <v>0.38474905840829088</v>
      </c>
      <c r="AE6" s="21">
        <f>M6*30.4*cost!M7</f>
        <v>3.5096222361166787E-2</v>
      </c>
      <c r="AF6" s="21">
        <f>N6*30.4*cost!N7</f>
        <v>2.6236904989785956E-3</v>
      </c>
      <c r="AG6" s="21">
        <f>O6*30.4*cost!O7</f>
        <v>6.9831844893591483E-2</v>
      </c>
      <c r="AH6" s="21">
        <f>P6*30.4*cost!P7</f>
        <v>0</v>
      </c>
      <c r="AI6" s="21">
        <f>Q6*30.4*cost!Q7</f>
        <v>7.3074287832099729E-3</v>
      </c>
      <c r="AJ6" s="21">
        <f>R6*30.4*cost!R7</f>
        <v>3.2368442916073506E-2</v>
      </c>
      <c r="AK6" s="21">
        <f>S6*30.4*cost!S7</f>
        <v>1.910629462414257E-2</v>
      </c>
      <c r="AM6" s="9">
        <f>HLOOKUP(TFP!$C$14,'current consumption'!$C$5:$S$63,'current consumption'!$A6,FALSE)</f>
        <v>0.62924509132940143</v>
      </c>
      <c r="AN6">
        <f>$AM6*HLOOKUP(TFP!$C$14,cost!$C$6:$S$64,cost!$A7,FALSE)</f>
        <v>0.10510217306329796</v>
      </c>
      <c r="AO6">
        <f t="shared" ref="AO6:AO27" si="0">$AN6*30.4</f>
        <v>3.1951060611242577</v>
      </c>
      <c r="AQ6" s="20">
        <f t="shared" ref="AQ6:AQ27" si="1">AO6*$AR$3</f>
        <v>2.3461197541537153</v>
      </c>
    </row>
    <row r="7" spans="1:46" x14ac:dyDescent="0.2">
      <c r="A7" s="75">
        <v>3</v>
      </c>
      <c r="B7" s="3" t="s">
        <v>327</v>
      </c>
      <c r="C7" s="21">
        <v>4.713294827267247</v>
      </c>
      <c r="D7" s="21">
        <v>4.8305724038726492</v>
      </c>
      <c r="E7" s="21">
        <v>4.8972783516456335</v>
      </c>
      <c r="F7" s="21">
        <v>4.8016853781861251</v>
      </c>
      <c r="G7" s="21">
        <v>7.5112032909111406</v>
      </c>
      <c r="H7" s="21">
        <v>8.5133125941189007</v>
      </c>
      <c r="I7" s="21">
        <v>6.9919099074214506</v>
      </c>
      <c r="J7" s="21">
        <v>5.6073656975753563</v>
      </c>
      <c r="K7" s="21">
        <v>7.1472414368254968</v>
      </c>
      <c r="L7" s="21">
        <v>7.0430717862501711</v>
      </c>
      <c r="M7" s="21">
        <v>7.4388171373057608</v>
      </c>
      <c r="N7" s="21">
        <v>7.885716621710821</v>
      </c>
      <c r="O7" s="21">
        <v>7.9216372198767173</v>
      </c>
      <c r="P7" s="21">
        <v>7.5072821858420369</v>
      </c>
      <c r="Q7">
        <v>7.1474092266706259</v>
      </c>
      <c r="R7" s="21">
        <v>7.1663965237003682</v>
      </c>
      <c r="S7" s="21">
        <v>7.3440303522206438</v>
      </c>
      <c r="T7" s="3"/>
      <c r="U7" s="21">
        <f>C7*30.4*cost!C8</f>
        <v>14.293852283935616</v>
      </c>
      <c r="V7" s="21">
        <f>D7*30.4*cost!D8</f>
        <v>15.735961431370034</v>
      </c>
      <c r="W7" s="21">
        <f>E7*30.4*cost!E8</f>
        <v>16.035748820290202</v>
      </c>
      <c r="X7" s="21">
        <f>F7*30.4*cost!F8</f>
        <v>15.176946098796508</v>
      </c>
      <c r="Y7" s="21">
        <f>G7*30.4*cost!G8</f>
        <v>22.196460336004641</v>
      </c>
      <c r="Z7" s="21">
        <f>H7*30.4*cost!H8</f>
        <v>24.413454275585494</v>
      </c>
      <c r="AA7" s="21">
        <f>I7*30.4*cost!I8</f>
        <v>20.838443323360789</v>
      </c>
      <c r="AB7" s="21">
        <f>J7*30.4*cost!J8</f>
        <v>0</v>
      </c>
      <c r="AC7" s="21">
        <f>K7*30.4*cost!K8</f>
        <v>24.402349491656452</v>
      </c>
      <c r="AD7" s="21">
        <f>L7*30.4*cost!L8</f>
        <v>24.114782498618769</v>
      </c>
      <c r="AE7" s="21">
        <f>M7*30.4*cost!M8</f>
        <v>23.697708629285337</v>
      </c>
      <c r="AF7" s="21">
        <f>N7*30.4*cost!N8</f>
        <v>23.856528175305893</v>
      </c>
      <c r="AG7" s="21">
        <f>O7*30.4*cost!O8</f>
        <v>25.227505983463303</v>
      </c>
      <c r="AH7" s="21">
        <f>P7*30.4*cost!P8</f>
        <v>0</v>
      </c>
      <c r="AI7" s="21">
        <f>Q7*30.4*cost!Q8</f>
        <v>25.407306103402416</v>
      </c>
      <c r="AJ7" s="21">
        <f>R7*30.4*cost!R8</f>
        <v>22.060844913502685</v>
      </c>
      <c r="AK7" s="21">
        <f>S7*30.4*cost!S8</f>
        <v>23.001560447694672</v>
      </c>
      <c r="AM7" s="9">
        <f>HLOOKUP(TFP!$C$14,'current consumption'!$C$5:$S$63,'current consumption'!$A7,FALSE)</f>
        <v>0.70582409723611061</v>
      </c>
      <c r="AN7">
        <f>$AM7*HLOOKUP(TFP!$C$14,cost!$C$6:$S$64,cost!$A8,FALSE)</f>
        <v>8.2533995356105838E-2</v>
      </c>
      <c r="AO7">
        <f t="shared" si="0"/>
        <v>2.5090334588256176</v>
      </c>
      <c r="AQ7" s="20">
        <f t="shared" si="1"/>
        <v>1.8423466542178359</v>
      </c>
    </row>
    <row r="8" spans="1:46" x14ac:dyDescent="0.2">
      <c r="A8" s="75">
        <v>4</v>
      </c>
      <c r="B8" s="2" t="s">
        <v>29</v>
      </c>
      <c r="C8" s="21">
        <v>2.2044103874381119E-3</v>
      </c>
      <c r="D8" s="21">
        <v>2.4955618900801852E-3</v>
      </c>
      <c r="E8" s="21">
        <v>5.4807873490310161E-4</v>
      </c>
      <c r="F8" s="21">
        <v>7.985914453249034E-3</v>
      </c>
      <c r="G8" s="21">
        <v>7.7529215737177741E-4</v>
      </c>
      <c r="H8" s="21">
        <v>5.591721479829418E-4</v>
      </c>
      <c r="I8" s="21">
        <v>5.6767950584083792E-6</v>
      </c>
      <c r="J8" s="21">
        <v>9.209156753858977E-5</v>
      </c>
      <c r="K8" s="21">
        <v>8.6868146554414664E-5</v>
      </c>
      <c r="L8" s="21">
        <v>1.3583357409906458E-2</v>
      </c>
      <c r="M8" s="21">
        <v>5.4045881361963245E-4</v>
      </c>
      <c r="N8" s="21">
        <v>6.7888281602141018E-5</v>
      </c>
      <c r="O8" s="21">
        <v>2.31821755344548E-3</v>
      </c>
      <c r="P8" s="21">
        <v>1.9124632226825828E-3</v>
      </c>
      <c r="Q8">
        <v>3.0817492825667756E-4</v>
      </c>
      <c r="R8" s="21">
        <v>1.2899326005584026E-3</v>
      </c>
      <c r="S8" s="21">
        <v>7.7358253929048378E-4</v>
      </c>
      <c r="T8" s="3"/>
      <c r="U8" s="21">
        <f>C8*30.4*cost!C9</f>
        <v>5.5741142345978573E-2</v>
      </c>
      <c r="V8" s="21">
        <f>D8*30.4*cost!D9</f>
        <v>6.6528765039899976E-2</v>
      </c>
      <c r="W8" s="21">
        <f>E8*30.4*cost!E9</f>
        <v>1.4859518406763136E-2</v>
      </c>
      <c r="X8" s="21">
        <f>F8*30.4*cost!F9</f>
        <v>0.20829367361660611</v>
      </c>
      <c r="Y8" s="21">
        <f>G8*30.4*cost!G9</f>
        <v>2.1056379041908109E-2</v>
      </c>
      <c r="Z8" s="21">
        <f>H8*30.4*cost!H9</f>
        <v>1.6578555109504439E-2</v>
      </c>
      <c r="AA8" s="21">
        <f>I8*30.4*cost!I9</f>
        <v>1.7295174662702455E-4</v>
      </c>
      <c r="AB8" s="21">
        <f>J8*30.4*cost!J9</f>
        <v>0</v>
      </c>
      <c r="AC8" s="21">
        <f>K8*30.4*cost!K9</f>
        <v>2.5163086475063169E-3</v>
      </c>
      <c r="AD8" s="21">
        <f>L8*30.4*cost!L9</f>
        <v>0.40028533190476168</v>
      </c>
      <c r="AE8" s="21">
        <f>M8*30.4*cost!M9</f>
        <v>1.731645739009794E-2</v>
      </c>
      <c r="AF8" s="21">
        <f>N8*30.4*cost!N9</f>
        <v>2.3342377989423483E-3</v>
      </c>
      <c r="AG8" s="21">
        <f>O8*30.4*cost!O9</f>
        <v>6.7038153066517656E-2</v>
      </c>
      <c r="AH8" s="21">
        <f>P8*30.4*cost!P9</f>
        <v>0</v>
      </c>
      <c r="AI8" s="21">
        <f>Q8*30.4*cost!Q9</f>
        <v>8.7080254709013209E-3</v>
      </c>
      <c r="AJ8" s="21">
        <f>R8*30.4*cost!R9</f>
        <v>3.3596036965742926E-2</v>
      </c>
      <c r="AK8" s="21">
        <f>S8*30.4*cost!S9</f>
        <v>1.7135583537179162E-2</v>
      </c>
      <c r="AM8" s="9">
        <f>HLOOKUP(TFP!$C$14,'current consumption'!$C$5:$S$63,'current consumption'!$A8,FALSE)</f>
        <v>0.13870514768822675</v>
      </c>
      <c r="AN8" s="113">
        <f>$AM8*HLOOKUP(TFP!$C$14,cost!$C$6:$S$64,cost!$A9,FALSE)</f>
        <v>0.12892625945207925</v>
      </c>
      <c r="AO8">
        <f t="shared" si="0"/>
        <v>3.9193582873432091</v>
      </c>
      <c r="AQ8" s="20">
        <f t="shared" si="1"/>
        <v>2.8779275947748806</v>
      </c>
    </row>
    <row r="9" spans="1:46" x14ac:dyDescent="0.2">
      <c r="A9" s="75">
        <v>5</v>
      </c>
      <c r="B9" s="3" t="s">
        <v>60</v>
      </c>
      <c r="C9" s="21">
        <v>1.2254524852270693E-2</v>
      </c>
      <c r="D9" s="21">
        <v>7.7677368377194918E-3</v>
      </c>
      <c r="E9" s="21">
        <v>2.4783193638652861E-3</v>
      </c>
      <c r="F9" s="21">
        <v>3.3639530989793831E-2</v>
      </c>
      <c r="G9" s="21">
        <v>4.079076251546401E-3</v>
      </c>
      <c r="H9" s="21">
        <v>3.4283027975709514E-3</v>
      </c>
      <c r="I9" s="21">
        <v>1.3218728132654115E-5</v>
      </c>
      <c r="J9" s="21">
        <v>5.0701825987971291E-6</v>
      </c>
      <c r="K9" s="21">
        <v>8.1955374352988099E-5</v>
      </c>
      <c r="L9" s="21">
        <v>2.3882767385049578E-2</v>
      </c>
      <c r="M9" s="21">
        <v>1.3443722991436271E-3</v>
      </c>
      <c r="N9" s="21">
        <v>5.3265893024718157E-4</v>
      </c>
      <c r="O9" s="21">
        <v>6.052088186116019E-3</v>
      </c>
      <c r="P9" s="21">
        <v>3.2363693263719948E-3</v>
      </c>
      <c r="Q9">
        <v>4.6441067199088314E-4</v>
      </c>
      <c r="R9" s="21">
        <v>4.1781667604204962E-3</v>
      </c>
      <c r="S9" s="21">
        <v>2.1298623873780512E-3</v>
      </c>
      <c r="T9" s="3"/>
      <c r="U9" s="21">
        <f>C9*30.4*cost!C10</f>
        <v>0.12927427068486427</v>
      </c>
      <c r="V9" s="21">
        <f>D9*30.4*cost!D10</f>
        <v>4.5950629988157264E-2</v>
      </c>
      <c r="W9" s="21">
        <f>E9*30.4*cost!E10</f>
        <v>1.7147580996534701E-2</v>
      </c>
      <c r="X9" s="21">
        <f>F9*30.4*cost!F10</f>
        <v>0.27980232145830342</v>
      </c>
      <c r="Y9" s="21">
        <f>G9*30.4*cost!G10</f>
        <v>3.0766816607691684E-2</v>
      </c>
      <c r="Z9" s="21">
        <f>H9*30.4*cost!H10</f>
        <v>2.8304319503139323E-2</v>
      </c>
      <c r="AA9" s="21">
        <f>I9*30.4*cost!I10</f>
        <v>1.456030119432751E-4</v>
      </c>
      <c r="AB9" s="21">
        <f>J9*30.4*cost!J10</f>
        <v>0</v>
      </c>
      <c r="AC9" s="21">
        <f>K9*30.4*cost!K10</f>
        <v>9.5506803166398491E-4</v>
      </c>
      <c r="AD9" s="21">
        <f>L9*30.4*cost!L10</f>
        <v>0.29475630320627416</v>
      </c>
      <c r="AE9" s="21">
        <f>M9*30.4*cost!M10</f>
        <v>1.5503292445226743E-2</v>
      </c>
      <c r="AF9" s="21">
        <f>N9*30.4*cost!N10</f>
        <v>5.1787566493671951E-3</v>
      </c>
      <c r="AG9" s="21">
        <f>O9*30.4*cost!O10</f>
        <v>5.3404238389614576E-2</v>
      </c>
      <c r="AH9" s="21">
        <f>P9*30.4*cost!P10</f>
        <v>0</v>
      </c>
      <c r="AI9" s="21">
        <f>Q9*30.4*cost!Q10</f>
        <v>5.3869729304791107E-3</v>
      </c>
      <c r="AJ9" s="21">
        <f>R9*30.4*cost!R10</f>
        <v>3.8494778459505254E-2</v>
      </c>
      <c r="AK9" s="21">
        <f>S9*30.4*cost!S10</f>
        <v>2.0939560402672301E-2</v>
      </c>
      <c r="AM9" s="9">
        <f>HLOOKUP(TFP!$C$14,'current consumption'!$C$5:$S$63,'current consumption'!$A9,FALSE)</f>
        <v>0.30070396447071679</v>
      </c>
      <c r="AN9" s="113">
        <f>$AM9*HLOOKUP(TFP!$C$14,cost!$C$6:$S$64,cost!$A10,FALSE)</f>
        <v>0.11473823696781714</v>
      </c>
      <c r="AO9">
        <f t="shared" si="0"/>
        <v>3.4880424038216407</v>
      </c>
      <c r="AQ9" s="20">
        <f t="shared" si="1"/>
        <v>2.5612186357445337</v>
      </c>
    </row>
    <row r="10" spans="1:46" x14ac:dyDescent="0.2">
      <c r="A10" s="75">
        <v>6</v>
      </c>
      <c r="B10" s="3" t="s">
        <v>61</v>
      </c>
      <c r="C10" s="21">
        <v>1.4615924998226321E-3</v>
      </c>
      <c r="D10" s="21">
        <v>1.3493016018729324E-3</v>
      </c>
      <c r="E10" s="21">
        <v>1.8945161989887883E-3</v>
      </c>
      <c r="F10" s="21">
        <v>2.928962585687632E-2</v>
      </c>
      <c r="G10" s="21">
        <v>2.5965944726330675E-3</v>
      </c>
      <c r="H10" s="21">
        <v>1.7888234912733711E-3</v>
      </c>
      <c r="I10" s="21">
        <v>6.7587376739683238E-6</v>
      </c>
      <c r="J10" s="21">
        <v>1.365031657358295E-4</v>
      </c>
      <c r="K10" s="21">
        <v>1.2593751233757003E-4</v>
      </c>
      <c r="L10" s="21">
        <v>2.0460920301711105E-2</v>
      </c>
      <c r="M10" s="21">
        <v>1.6863487427903813E-3</v>
      </c>
      <c r="N10" s="21">
        <v>2.7249745683398852E-4</v>
      </c>
      <c r="O10" s="21">
        <v>5.0936567795130377E-3</v>
      </c>
      <c r="P10" s="21">
        <v>2.4630457616310847E-4</v>
      </c>
      <c r="Q10">
        <v>2.805896012179613E-4</v>
      </c>
      <c r="R10" s="21">
        <v>5.1700356573166255E-3</v>
      </c>
      <c r="S10" s="21">
        <v>3.4485729943303086E-3</v>
      </c>
      <c r="T10" s="3"/>
      <c r="U10" s="21">
        <f>C10*30.4*cost!C11</f>
        <v>9.5023981753376389E-3</v>
      </c>
      <c r="V10" s="21">
        <f>D10*30.4*cost!D11</f>
        <v>7.2472642335942592E-3</v>
      </c>
      <c r="W10" s="21">
        <f>E10*30.4*cost!E11</f>
        <v>9.506000870889781E-3</v>
      </c>
      <c r="X10" s="21">
        <f>F10*30.4*cost!F11</f>
        <v>0.21665012261376115</v>
      </c>
      <c r="Y10" s="21">
        <f>G10*30.4*cost!G11</f>
        <v>2.7267719054569796E-2</v>
      </c>
      <c r="Z10" s="21">
        <f>H10*30.4*cost!H11</f>
        <v>1.6191487841077445E-2</v>
      </c>
      <c r="AA10" s="21">
        <f>I10*30.4*cost!I11</f>
        <v>4.7264142704916033E-5</v>
      </c>
      <c r="AB10" s="21">
        <f>J10*30.4*cost!J11</f>
        <v>0</v>
      </c>
      <c r="AC10" s="21">
        <f>K10*30.4*cost!K11</f>
        <v>1.0283346539649825E-3</v>
      </c>
      <c r="AD10" s="21">
        <f>L10*30.4*cost!L11</f>
        <v>0.12655867211607488</v>
      </c>
      <c r="AE10" s="21">
        <f>M10*30.4*cost!M11</f>
        <v>1.3076468502641301E-2</v>
      </c>
      <c r="AF10" s="21">
        <f>N10*30.4*cost!N11</f>
        <v>2.3887582696349584E-3</v>
      </c>
      <c r="AG10" s="21">
        <f>O10*30.4*cost!O11</f>
        <v>3.286707453001235E-2</v>
      </c>
      <c r="AH10" s="21">
        <f>P10*30.4*cost!P11</f>
        <v>0</v>
      </c>
      <c r="AI10" s="21">
        <f>Q10*30.4*cost!Q11</f>
        <v>2.3772025259851627E-3</v>
      </c>
      <c r="AJ10" s="21">
        <f>R10*30.4*cost!R11</f>
        <v>5.9032899191365361E-2</v>
      </c>
      <c r="AK10" s="21">
        <f>S10*30.4*cost!S11</f>
        <v>2.0552646698980947E-2</v>
      </c>
      <c r="AM10" s="9">
        <f>HLOOKUP(TFP!$C$14,'current consumption'!$C$5:$S$63,'current consumption'!$A10,FALSE)</f>
        <v>8.7193505530558699E-2</v>
      </c>
      <c r="AN10" s="113">
        <f>$AM10*HLOOKUP(TFP!$C$14,cost!$C$6:$S$64,cost!$A11,FALSE)</f>
        <v>2.4299938028170636E-2</v>
      </c>
      <c r="AO10">
        <f t="shared" si="0"/>
        <v>0.73871811605638726</v>
      </c>
      <c r="AQ10" s="20">
        <f t="shared" si="1"/>
        <v>0.54242993242649229</v>
      </c>
    </row>
    <row r="11" spans="1:46" x14ac:dyDescent="0.2">
      <c r="A11" s="75">
        <v>7</v>
      </c>
      <c r="B11" s="3" t="s">
        <v>425</v>
      </c>
      <c r="C11" s="21">
        <v>6.4765323790370237E-4</v>
      </c>
      <c r="D11" s="21">
        <v>5.8207476222115427E-4</v>
      </c>
      <c r="E11" s="21">
        <v>3.8842816891413308E-4</v>
      </c>
      <c r="F11" s="21">
        <v>9.9252434019177979E-3</v>
      </c>
      <c r="G11" s="21">
        <v>1.2175539643591885E-3</v>
      </c>
      <c r="H11" s="21">
        <v>1.3569066315995426E-3</v>
      </c>
      <c r="I11" s="21">
        <v>0.299983682077195</v>
      </c>
      <c r="J11" s="21">
        <v>9.9931033083095755E-2</v>
      </c>
      <c r="K11" s="21">
        <v>2.5596789711385441E-4</v>
      </c>
      <c r="L11" s="21">
        <v>3.8947879015184941E-2</v>
      </c>
      <c r="M11" s="21">
        <v>2.275642884521604E-3</v>
      </c>
      <c r="N11" s="21">
        <v>4.6770082013907338E-2</v>
      </c>
      <c r="O11" s="21">
        <v>2.9079792551409411E-2</v>
      </c>
      <c r="P11" s="21">
        <v>3.1442476412575156E-3</v>
      </c>
      <c r="Q11">
        <v>2.4605236701142892E-4</v>
      </c>
      <c r="R11" s="21">
        <v>7.4025877814542521E-2</v>
      </c>
      <c r="S11" s="21">
        <v>5.059697727870571E-4</v>
      </c>
      <c r="T11" s="3"/>
      <c r="U11" s="21">
        <f>C11*30.4*cost!C12</f>
        <v>1.2475991836835416E-2</v>
      </c>
      <c r="V11" s="21">
        <f>D11*30.4*cost!D12</f>
        <v>1.3409150375404058E-2</v>
      </c>
      <c r="W11" s="21">
        <f>E11*30.4*cost!E12</f>
        <v>8.5979196825750285E-3</v>
      </c>
      <c r="X11" s="21">
        <f>F11*30.4*cost!F12</f>
        <v>0.22336546703811386</v>
      </c>
      <c r="Y11" s="21">
        <f>G11*30.4*cost!G12</f>
        <v>2.5405262652804173E-2</v>
      </c>
      <c r="Z11" s="21">
        <f>H11*30.4*cost!H12</f>
        <v>2.6671461962150877E-2</v>
      </c>
      <c r="AA11" s="21">
        <f>I11*30.4*cost!I12</f>
        <v>5.7541964920084396</v>
      </c>
      <c r="AB11" s="21">
        <f>J11*30.4*cost!J12</f>
        <v>0</v>
      </c>
      <c r="AC11" s="21">
        <f>K11*30.4*cost!K12</f>
        <v>5.6001663059633009E-3</v>
      </c>
      <c r="AD11" s="21">
        <f>L11*30.4*cost!L12</f>
        <v>0.84926921629263474</v>
      </c>
      <c r="AE11" s="21">
        <f>M11*30.4*cost!M12</f>
        <v>5.1311175915622315E-2</v>
      </c>
      <c r="AF11" s="21">
        <f>N11*30.4*cost!N12</f>
        <v>1.0407871640124757</v>
      </c>
      <c r="AG11" s="21">
        <f>O11*30.4*cost!O12</f>
        <v>0.54316524515706466</v>
      </c>
      <c r="AH11" s="21">
        <f>P11*30.4*cost!P12</f>
        <v>0</v>
      </c>
      <c r="AI11" s="21">
        <f>Q11*30.4*cost!Q12</f>
        <v>5.2525790694223319E-3</v>
      </c>
      <c r="AJ11" s="21">
        <f>R11*30.4*cost!R12</f>
        <v>1.6514261805663255</v>
      </c>
      <c r="AK11" s="21">
        <f>S11*30.4*cost!S12</f>
        <v>1.1912499405149751E-2</v>
      </c>
      <c r="AM11" s="9">
        <f>HLOOKUP(TFP!$C$14,'current consumption'!$C$5:$S$63,'current consumption'!$A11,FALSE)</f>
        <v>8.5179729530214021E-2</v>
      </c>
      <c r="AN11" s="113">
        <f>$AM11*HLOOKUP(TFP!$C$14,cost!$C$6:$S$64,cost!$A12,FALSE)</f>
        <v>5.9814671864979185E-2</v>
      </c>
      <c r="AO11">
        <f t="shared" si="0"/>
        <v>1.8183660246953672</v>
      </c>
      <c r="AQ11" s="20">
        <f t="shared" si="1"/>
        <v>1.3351996363208849</v>
      </c>
    </row>
    <row r="12" spans="1:46" x14ac:dyDescent="0.2">
      <c r="A12" s="75">
        <v>8</v>
      </c>
      <c r="B12" s="3" t="s">
        <v>324</v>
      </c>
      <c r="C12" s="21">
        <v>1.3700389010891175E-4</v>
      </c>
      <c r="D12" s="21">
        <v>3.8069371618327797E-4</v>
      </c>
      <c r="E12" s="21">
        <v>2.154791659900053E-4</v>
      </c>
      <c r="F12" s="21">
        <v>3.7459493069016054E-3</v>
      </c>
      <c r="G12" s="21">
        <v>3.0858173923291007E-4</v>
      </c>
      <c r="H12" s="21">
        <v>2.0083536612217861E-3</v>
      </c>
      <c r="I12" s="21">
        <v>3.9616191105138995E-6</v>
      </c>
      <c r="J12" s="21">
        <v>1.9496526390510645E-5</v>
      </c>
      <c r="K12" s="21">
        <v>5.198724648195708E-5</v>
      </c>
      <c r="L12" s="21">
        <v>4.9339940496797097E-3</v>
      </c>
      <c r="M12" s="21">
        <v>5.4624513390890697E-4</v>
      </c>
      <c r="N12" s="21">
        <v>4.5165203787445305E-5</v>
      </c>
      <c r="O12" s="21">
        <v>2.3668366189870593E-3</v>
      </c>
      <c r="P12" s="21">
        <v>5.2949693246426234E-4</v>
      </c>
      <c r="Q12">
        <v>2.8639915919547072E-4</v>
      </c>
      <c r="R12" s="21">
        <v>1.7135123699069006E-3</v>
      </c>
      <c r="S12" s="21">
        <v>4.4774838136304822E-4</v>
      </c>
      <c r="T12" s="3"/>
      <c r="U12" s="21">
        <f>C12*30.4*cost!C13</f>
        <v>6.0490552897492934E-3</v>
      </c>
      <c r="V12" s="21">
        <f>D12*30.4*cost!D13</f>
        <v>1.3767344285702754E-2</v>
      </c>
      <c r="W12" s="21">
        <f>E12*30.4*cost!E13</f>
        <v>9.5903432799507964E-3</v>
      </c>
      <c r="X12" s="21">
        <f>F12*30.4*cost!F13</f>
        <v>0.17295735205857221</v>
      </c>
      <c r="Y12" s="21">
        <f>G12*30.4*cost!G13</f>
        <v>1.2640978440643037E-2</v>
      </c>
      <c r="Z12" s="21">
        <f>H12*30.4*cost!H13</f>
        <v>9.1778417052779532E-2</v>
      </c>
      <c r="AA12" s="21">
        <f>I12*30.4*cost!I13</f>
        <v>1.8144927191756537E-4</v>
      </c>
      <c r="AB12" s="21">
        <f>J12*30.4*cost!J13</f>
        <v>0</v>
      </c>
      <c r="AC12" s="21">
        <f>K12*30.4*cost!K13</f>
        <v>2.0599828118099289E-3</v>
      </c>
      <c r="AD12" s="21">
        <f>L12*30.4*cost!L13</f>
        <v>0.18731080911973969</v>
      </c>
      <c r="AE12" s="21">
        <f>M12*30.4*cost!M13</f>
        <v>2.0296940263941091E-2</v>
      </c>
      <c r="AF12" s="21">
        <f>N12*30.4*cost!N13</f>
        <v>1.9354303972511947E-3</v>
      </c>
      <c r="AG12" s="21">
        <f>O12*30.4*cost!O13</f>
        <v>0.10848691919850845</v>
      </c>
      <c r="AH12" s="21">
        <f>P12*30.4*cost!P13</f>
        <v>0</v>
      </c>
      <c r="AI12" s="21">
        <f>Q12*30.4*cost!Q13</f>
        <v>1.2019351666226698E-2</v>
      </c>
      <c r="AJ12" s="21">
        <f>R12*30.4*cost!R13</f>
        <v>6.8684161547451231E-2</v>
      </c>
      <c r="AK12" s="21">
        <f>S12*30.4*cost!S13</f>
        <v>1.5637032229163593E-2</v>
      </c>
      <c r="AM12" s="9">
        <f>HLOOKUP(TFP!$C$14,'current consumption'!$C$5:$S$63,'current consumption'!$A12,FALSE)</f>
        <v>9.8339162468257829E-2</v>
      </c>
      <c r="AN12" s="113">
        <f>$AM12*HLOOKUP(TFP!$C$14,cost!$C$6:$S$64,cost!$A13,FALSE)</f>
        <v>0.13575699774413658</v>
      </c>
      <c r="AO12">
        <f t="shared" si="0"/>
        <v>4.1270127314217513</v>
      </c>
      <c r="AQ12" s="20">
        <f t="shared" si="1"/>
        <v>3.0304052227378948</v>
      </c>
    </row>
    <row r="13" spans="1:46" x14ac:dyDescent="0.2">
      <c r="A13" s="75">
        <v>9</v>
      </c>
      <c r="B13" s="3" t="s">
        <v>616</v>
      </c>
      <c r="C13" s="21">
        <v>9.2918371352307669E-2</v>
      </c>
      <c r="D13" s="21">
        <v>3.6166205266218117E-2</v>
      </c>
      <c r="E13" s="21">
        <v>0.2565550946092105</v>
      </c>
      <c r="F13" s="21">
        <v>0.47062448353030351</v>
      </c>
      <c r="G13" s="21">
        <v>0.46274603379303564</v>
      </c>
      <c r="H13" s="21">
        <v>0.29239634382757262</v>
      </c>
      <c r="I13" s="21">
        <v>4.731327508369581E-6</v>
      </c>
      <c r="J13" s="21">
        <v>4.120733539845565E-6</v>
      </c>
      <c r="K13" s="21">
        <v>0.29958523171871754</v>
      </c>
      <c r="L13" s="21">
        <v>0.24116489811532829</v>
      </c>
      <c r="M13" s="21">
        <v>0.29446078495951161</v>
      </c>
      <c r="N13" s="21">
        <v>0.10205871096575021</v>
      </c>
      <c r="O13" s="21">
        <v>0.2582353074339408</v>
      </c>
      <c r="P13" s="21">
        <v>0.20368778490417111</v>
      </c>
      <c r="Q13">
        <v>0.29876250388438386</v>
      </c>
      <c r="R13" s="21">
        <v>0.21569034254197636</v>
      </c>
      <c r="S13" s="21">
        <v>0.29741635490959045</v>
      </c>
      <c r="T13" s="3"/>
      <c r="U13" s="21">
        <f>C13*30.4*cost!C14</f>
        <v>2.1688717684833168</v>
      </c>
      <c r="V13" s="21">
        <f>D13*30.4*cost!D14</f>
        <v>0.77335803081425591</v>
      </c>
      <c r="W13" s="21">
        <f>E13*30.4*cost!E14</f>
        <v>6.1878806480437465</v>
      </c>
      <c r="X13" s="21">
        <f>F13*30.4*cost!F14</f>
        <v>10.679084955305065</v>
      </c>
      <c r="Y13" s="21">
        <f>G13*30.4*cost!G14</f>
        <v>8.3097791896800555</v>
      </c>
      <c r="Z13" s="21">
        <f>H13*30.4*cost!H14</f>
        <v>6.9927617579635974</v>
      </c>
      <c r="AA13" s="21">
        <f>I13*30.4*cost!I14</f>
        <v>9.6339842737478367E-5</v>
      </c>
      <c r="AB13" s="21">
        <f>J13*30.4*cost!J14</f>
        <v>0</v>
      </c>
      <c r="AC13" s="21">
        <f>K13*30.4*cost!K14</f>
        <v>5.6293325751562886</v>
      </c>
      <c r="AD13" s="21">
        <f>L13*30.4*cost!L14</f>
        <v>4.1397355855582889</v>
      </c>
      <c r="AE13" s="21">
        <f>M13*30.4*cost!M14</f>
        <v>5.2296284364809393</v>
      </c>
      <c r="AF13" s="21">
        <f>N13*30.4*cost!N14</f>
        <v>1.7759707778469638</v>
      </c>
      <c r="AG13" s="21">
        <f>O13*30.4*cost!O14</f>
        <v>5.7308322794299054</v>
      </c>
      <c r="AH13" s="21">
        <f>P13*30.4*cost!P14</f>
        <v>0</v>
      </c>
      <c r="AI13" s="21">
        <f>Q13*30.4*cost!Q14</f>
        <v>5.7609264000189029</v>
      </c>
      <c r="AJ13" s="21">
        <f>R13*30.4*cost!R14</f>
        <v>4.6483570530084473</v>
      </c>
      <c r="AK13" s="21">
        <f>S13*30.4*cost!S14</f>
        <v>6.0198700594805707</v>
      </c>
      <c r="AM13" s="9">
        <f>HLOOKUP(TFP!$C$14,'current consumption'!$C$5:$S$63,'current consumption'!$A13,FALSE)</f>
        <v>1.424671937567018E-2</v>
      </c>
      <c r="AN13" s="113">
        <f>$AM13*HLOOKUP(TFP!$C$14,cost!$C$6:$S$64,cost!$A14,FALSE)</f>
        <v>9.0366512629799431E-3</v>
      </c>
      <c r="AO13">
        <f t="shared" si="0"/>
        <v>0.27471419839459027</v>
      </c>
      <c r="AQ13" s="20">
        <f t="shared" si="1"/>
        <v>0.2017186269470089</v>
      </c>
    </row>
    <row r="14" spans="1:46" x14ac:dyDescent="0.2">
      <c r="A14" s="75">
        <v>10</v>
      </c>
      <c r="B14" s="3" t="s">
        <v>617</v>
      </c>
      <c r="C14" s="21">
        <v>6.2969715196810787E-3</v>
      </c>
      <c r="D14" s="21">
        <v>2.8710262553776757E-3</v>
      </c>
      <c r="E14" s="21">
        <v>1.8210476139116976E-3</v>
      </c>
      <c r="F14" s="21">
        <v>3.5679014666991145E-2</v>
      </c>
      <c r="G14" s="21">
        <v>1.9382757487703974E-3</v>
      </c>
      <c r="H14" s="21">
        <v>4.2383958796668999E-3</v>
      </c>
      <c r="I14" s="21">
        <v>7.6249761861009744E-6</v>
      </c>
      <c r="J14" s="21">
        <v>4.5349656973197566E-5</v>
      </c>
      <c r="K14" s="21">
        <v>1.068131376847417E-4</v>
      </c>
      <c r="L14" s="21">
        <v>1.4953228819835901E-2</v>
      </c>
      <c r="M14" s="21">
        <v>2.7173270220585016E-3</v>
      </c>
      <c r="N14" s="21">
        <v>1.1260418165549913E-3</v>
      </c>
      <c r="O14" s="21">
        <v>1.0318063395662743E-2</v>
      </c>
      <c r="P14" s="21">
        <v>4.263847052209941E-2</v>
      </c>
      <c r="Q14">
        <v>7.0504458940599183E-4</v>
      </c>
      <c r="R14" s="21">
        <v>8.57026727357184E-3</v>
      </c>
      <c r="S14" s="21">
        <v>1.6299269362569917E-3</v>
      </c>
      <c r="T14" s="3"/>
      <c r="U14" s="21">
        <f>C14*30.4*cost!C15</f>
        <v>0.29397857097366842</v>
      </c>
      <c r="V14" s="21">
        <f>D14*30.4*cost!D15</f>
        <v>0.14185080680050582</v>
      </c>
      <c r="W14" s="21">
        <f>E14*30.4*cost!E15</f>
        <v>9.0128164682346426E-2</v>
      </c>
      <c r="X14" s="21">
        <f>F14*30.4*cost!F15</f>
        <v>1.8810975992420942</v>
      </c>
      <c r="Y14" s="21">
        <f>G14*30.4*cost!G15</f>
        <v>9.8514996956175632E-2</v>
      </c>
      <c r="Z14" s="21">
        <f>H14*30.4*cost!H15</f>
        <v>0.22179805830741925</v>
      </c>
      <c r="AA14" s="21">
        <f>I14*30.4*cost!I15</f>
        <v>3.8595626101104997E-4</v>
      </c>
      <c r="AB14" s="21">
        <f>J14*30.4*cost!J15</f>
        <v>0</v>
      </c>
      <c r="AC14" s="21">
        <f>K14*30.4*cost!K15</f>
        <v>5.4550939118468127E-3</v>
      </c>
      <c r="AD14" s="21">
        <f>L14*30.4*cost!L15</f>
        <v>0.85095620560082041</v>
      </c>
      <c r="AE14" s="21">
        <f>M14*30.4*cost!M15</f>
        <v>0.14815324509727243</v>
      </c>
      <c r="AF14" s="21">
        <f>N14*30.4*cost!N15</f>
        <v>5.666395485850198E-2</v>
      </c>
      <c r="AG14" s="21">
        <f>O14*30.4*cost!O15</f>
        <v>0.48982131296947101</v>
      </c>
      <c r="AH14" s="21">
        <f>P14*30.4*cost!P15</f>
        <v>0</v>
      </c>
      <c r="AI14" s="21">
        <f>Q14*30.4*cost!Q15</f>
        <v>3.4562527870950641E-2</v>
      </c>
      <c r="AJ14" s="21">
        <f>R14*30.4*cost!R15</f>
        <v>0.46598441439159122</v>
      </c>
      <c r="AK14" s="21">
        <f>S14*30.4*cost!S15</f>
        <v>7.7946945636864662E-2</v>
      </c>
      <c r="AM14" s="9">
        <f>HLOOKUP(TFP!$C$14,'current consumption'!$C$5:$S$63,'current consumption'!$A14,FALSE)</f>
        <v>0.11035822967314929</v>
      </c>
      <c r="AN14" s="113">
        <f>$AM14*HLOOKUP(TFP!$C$14,cost!$C$6:$S$64,cost!$A15,FALSE)</f>
        <v>0.17795904078920477</v>
      </c>
      <c r="AO14">
        <f t="shared" si="0"/>
        <v>5.4099548399918245</v>
      </c>
      <c r="AQ14" s="20">
        <f t="shared" si="1"/>
        <v>3.9724508909473459</v>
      </c>
    </row>
    <row r="15" spans="1:46" x14ac:dyDescent="0.2">
      <c r="A15" s="75">
        <v>11</v>
      </c>
      <c r="B15" s="3" t="s">
        <v>562</v>
      </c>
      <c r="C15" s="21">
        <v>6.2342761924470899E-2</v>
      </c>
      <c r="D15" s="21">
        <v>1.6056968709346976E-3</v>
      </c>
      <c r="E15" s="21">
        <v>1.4395001486052929E-4</v>
      </c>
      <c r="F15" s="21">
        <v>0.14455225003951799</v>
      </c>
      <c r="G15" s="21">
        <v>7.9758185496015357E-4</v>
      </c>
      <c r="H15" s="21">
        <v>0.29899776967119479</v>
      </c>
      <c r="I15" s="21">
        <v>0.10312994342909829</v>
      </c>
      <c r="J15" s="21">
        <v>6.531423184664318E-5</v>
      </c>
      <c r="K15" s="21">
        <v>1.2603016725864042E-5</v>
      </c>
      <c r="L15" s="21">
        <v>1.2340854639732375E-2</v>
      </c>
      <c r="M15" s="21">
        <v>2.1635469713839079E-3</v>
      </c>
      <c r="N15" s="21">
        <v>0.42756302475002406</v>
      </c>
      <c r="O15" s="21">
        <v>8.8639436426787106E-4</v>
      </c>
      <c r="P15" s="21">
        <v>7.9139425105019165E-4</v>
      </c>
      <c r="Q15">
        <v>0.11365176358668512</v>
      </c>
      <c r="R15" s="21">
        <v>3.4164085845936147E-4</v>
      </c>
      <c r="S15" s="21">
        <v>1.4302518928616426E-4</v>
      </c>
      <c r="T15" s="3"/>
      <c r="U15" s="21">
        <f>C15*30.4*cost!C16</f>
        <v>1.3864138000883846</v>
      </c>
      <c r="V15" s="21">
        <f>D15*30.4*cost!D16</f>
        <v>3.7486432707000396E-2</v>
      </c>
      <c r="W15" s="21">
        <f>E15*30.4*cost!E16</f>
        <v>3.6004706005604409E-3</v>
      </c>
      <c r="X15" s="21">
        <f>F15*30.4*cost!F16</f>
        <v>3.5742632688331737</v>
      </c>
      <c r="Y15" s="21">
        <f>G15*30.4*cost!G16</f>
        <v>1.8333285844514241E-2</v>
      </c>
      <c r="Z15" s="21">
        <f>H15*30.4*cost!H16</f>
        <v>7.8323495866861199</v>
      </c>
      <c r="AA15" s="21">
        <f>I15*30.4*cost!I16</f>
        <v>2.4105072071980622</v>
      </c>
      <c r="AB15" s="21">
        <f>J15*30.4*cost!J16</f>
        <v>0</v>
      </c>
      <c r="AC15" s="21">
        <f>K15*30.4*cost!K16</f>
        <v>2.969443466713192E-4</v>
      </c>
      <c r="AD15" s="21">
        <f>L15*30.4*cost!L16</f>
        <v>0.30498826131077528</v>
      </c>
      <c r="AE15" s="21">
        <f>M15*30.4*cost!M16</f>
        <v>5.4957054185793837E-2</v>
      </c>
      <c r="AF15" s="21">
        <f>N15*30.4*cost!N16</f>
        <v>9.7680961638856747</v>
      </c>
      <c r="AG15" s="21">
        <f>O15*30.4*cost!O16</f>
        <v>1.9097662959035509E-2</v>
      </c>
      <c r="AH15" s="21">
        <f>P15*30.4*cost!P16</f>
        <v>0</v>
      </c>
      <c r="AI15" s="21">
        <f>Q15*30.4*cost!Q16</f>
        <v>2.7140094915574737</v>
      </c>
      <c r="AJ15" s="21">
        <f>R15*30.4*cost!R16</f>
        <v>8.9561162364552669E-3</v>
      </c>
      <c r="AK15" s="21">
        <f>S15*30.4*cost!S16</f>
        <v>3.1699945887275127E-3</v>
      </c>
      <c r="AM15" s="9">
        <f>HLOOKUP(TFP!$C$14,'current consumption'!$C$5:$S$63,'current consumption'!$A15,FALSE)</f>
        <v>2.5361649090094796E-2</v>
      </c>
      <c r="AN15" s="113">
        <f>$AM15*HLOOKUP(TFP!$C$14,cost!$C$6:$S$64,cost!$A16,FALSE)</f>
        <v>1.9922282242934082E-2</v>
      </c>
      <c r="AO15">
        <f t="shared" si="0"/>
        <v>0.60563738018519608</v>
      </c>
      <c r="AQ15" s="20">
        <f t="shared" si="1"/>
        <v>0.44471069013791148</v>
      </c>
    </row>
    <row r="16" spans="1:46" x14ac:dyDescent="0.2">
      <c r="A16" s="75">
        <v>12</v>
      </c>
      <c r="B16" s="3" t="s">
        <v>571</v>
      </c>
      <c r="C16" s="21">
        <v>9.1299435341450559E-5</v>
      </c>
      <c r="D16" s="21">
        <v>0.29019179169967935</v>
      </c>
      <c r="E16" s="21">
        <v>7.8611383148110853E-4</v>
      </c>
      <c r="F16" s="21">
        <v>1.1387334889032359E-3</v>
      </c>
      <c r="G16" s="21">
        <v>8.578122859321444E-4</v>
      </c>
      <c r="H16" s="21">
        <v>5.1285597982202288E-4</v>
      </c>
      <c r="I16" s="21">
        <v>1.020956005540468E-6</v>
      </c>
      <c r="J16" s="21">
        <v>1.7057472190940434E-5</v>
      </c>
      <c r="K16" s="21">
        <v>3.3158904067051016E-5</v>
      </c>
      <c r="L16" s="21">
        <v>1.5545570802209722E-2</v>
      </c>
      <c r="M16" s="21">
        <v>1.5265621448311087E-3</v>
      </c>
      <c r="N16" s="21">
        <v>2.6505092663270613E-5</v>
      </c>
      <c r="O16" s="21">
        <v>1.0324675439755794E-3</v>
      </c>
      <c r="P16" s="21">
        <v>7.9097361351689955E-4</v>
      </c>
      <c r="Q16">
        <v>7.5500631186659203E-4</v>
      </c>
      <c r="R16" s="21">
        <v>7.2451045390393466E-3</v>
      </c>
      <c r="S16" s="21">
        <v>1.6712842897028477E-3</v>
      </c>
      <c r="T16" s="3"/>
      <c r="U16" s="21">
        <f>C16*30.4*cost!C17</f>
        <v>6.3772132690505332E-3</v>
      </c>
      <c r="V16" s="21">
        <f>D16*30.4*cost!D17</f>
        <v>11.257178902509333</v>
      </c>
      <c r="W16" s="21">
        <f>E16*30.4*cost!E17</f>
        <v>3.5849240330251553E-2</v>
      </c>
      <c r="X16" s="21">
        <f>F16*30.4*cost!F17</f>
        <v>6.2858497309715058E-2</v>
      </c>
      <c r="Y16" s="21">
        <f>G16*30.4*cost!G17</f>
        <v>3.5543788687851588E-2</v>
      </c>
      <c r="Z16" s="21">
        <f>H16*30.4*cost!H17</f>
        <v>2.0022623037879609E-2</v>
      </c>
      <c r="AA16" s="21">
        <f>I16*30.4*cost!I17</f>
        <v>5.9731303734395323E-5</v>
      </c>
      <c r="AB16" s="21">
        <f>J16*30.4*cost!J17</f>
        <v>0</v>
      </c>
      <c r="AC16" s="21">
        <f>K16*30.4*cost!K17</f>
        <v>1.6112131111923763E-3</v>
      </c>
      <c r="AD16" s="21">
        <f>L16*30.4*cost!L17</f>
        <v>0.72626152636147379</v>
      </c>
      <c r="AE16" s="21">
        <f>M16*30.4*cost!M17</f>
        <v>8.582864521750036E-2</v>
      </c>
      <c r="AF16" s="21">
        <f>N16*30.4*cost!N17</f>
        <v>1.2867702474457442E-3</v>
      </c>
      <c r="AG16" s="21">
        <f>O16*30.4*cost!O17</f>
        <v>5.0751616809780693E-2</v>
      </c>
      <c r="AH16" s="21">
        <f>P16*30.4*cost!P17</f>
        <v>0</v>
      </c>
      <c r="AI16" s="21">
        <f>Q16*30.4*cost!Q17</f>
        <v>3.5482268455820497E-2</v>
      </c>
      <c r="AJ16" s="21">
        <f>R16*30.4*cost!R17</f>
        <v>0.31368074810179791</v>
      </c>
      <c r="AK16" s="21">
        <f>S16*30.4*cost!S17</f>
        <v>7.6903633637029956E-2</v>
      </c>
      <c r="AM16" s="9">
        <f>HLOOKUP(TFP!$C$14,'current consumption'!$C$5:$S$63,'current consumption'!$A16,FALSE)</f>
        <v>7.3064018827389957E-2</v>
      </c>
      <c r="AN16" s="113">
        <f>$AM16*HLOOKUP(TFP!$C$14,cost!$C$6:$S$64,cost!$A17,FALSE)</f>
        <v>0.11295117886625532</v>
      </c>
      <c r="AO16">
        <f t="shared" si="0"/>
        <v>3.4337158375341614</v>
      </c>
      <c r="AQ16" s="20">
        <f t="shared" si="1"/>
        <v>2.5213274309131211</v>
      </c>
    </row>
    <row r="17" spans="1:43" x14ac:dyDescent="0.2">
      <c r="A17" s="75">
        <v>13</v>
      </c>
      <c r="B17" s="3" t="s">
        <v>450</v>
      </c>
      <c r="C17" s="21">
        <v>7.5093476513452925E-2</v>
      </c>
      <c r="D17" s="21">
        <v>1.2142672240799691E-4</v>
      </c>
      <c r="E17" s="21">
        <v>1.3869879881212856E-4</v>
      </c>
      <c r="F17" s="21">
        <v>2.6326929312656894E-3</v>
      </c>
      <c r="G17" s="21">
        <v>0.29715257032873843</v>
      </c>
      <c r="H17" s="21">
        <v>2.3494122112801342E-5</v>
      </c>
      <c r="I17" s="21">
        <v>7.1868889875916137E-2</v>
      </c>
      <c r="J17" s="21">
        <v>1.1537900086943956E-5</v>
      </c>
      <c r="K17" s="21">
        <v>0.22493984908988446</v>
      </c>
      <c r="L17" s="21">
        <v>0.26902045690641802</v>
      </c>
      <c r="M17" s="21">
        <v>0.29586173889637613</v>
      </c>
      <c r="N17" s="21">
        <v>6.8447084034910402E-6</v>
      </c>
      <c r="O17" s="21">
        <v>0.18555133434110427</v>
      </c>
      <c r="P17" s="21">
        <v>4.5927170035089733E-2</v>
      </c>
      <c r="Q17">
        <v>0.18450620782529153</v>
      </c>
      <c r="R17" s="21">
        <v>0.2916403946139699</v>
      </c>
      <c r="S17" s="21">
        <v>0.29794886819928351</v>
      </c>
      <c r="T17" s="3"/>
      <c r="U17" s="21">
        <f>C17*30.4*cost!C18</f>
        <v>1.0195431527593992</v>
      </c>
      <c r="V17" s="21">
        <f>D17*30.4*cost!D18</f>
        <v>1.7277998556369481E-3</v>
      </c>
      <c r="W17" s="21">
        <f>E17*30.4*cost!E18</f>
        <v>8.8451738010912042E-4</v>
      </c>
      <c r="X17" s="21">
        <f>F17*30.4*cost!F18</f>
        <v>2.4727500458104072E-2</v>
      </c>
      <c r="Y17" s="21">
        <f>G17*30.4*cost!G18</f>
        <v>2.6577396545990166</v>
      </c>
      <c r="Z17" s="21">
        <f>H17*30.4*cost!H18</f>
        <v>3.4176363212800795E-4</v>
      </c>
      <c r="AA17" s="21">
        <f>I17*30.4*cost!I18</f>
        <v>1.0499376840276651</v>
      </c>
      <c r="AB17" s="21">
        <f>J17*30.4*cost!J18</f>
        <v>0</v>
      </c>
      <c r="AC17" s="21">
        <f>K17*30.4*cost!K18</f>
        <v>3.1449486689769768</v>
      </c>
      <c r="AD17" s="21">
        <f>L17*30.4*cost!L18</f>
        <v>3.4641318378219692</v>
      </c>
      <c r="AE17" s="21">
        <f>M17*30.4*cost!M18</f>
        <v>6.0314360172785779</v>
      </c>
      <c r="AF17" s="21">
        <f>N17*30.4*cost!N18</f>
        <v>1.0000687732107827E-4</v>
      </c>
      <c r="AG17" s="21">
        <f>O17*30.4*cost!O18</f>
        <v>2.6625235905732239</v>
      </c>
      <c r="AH17" s="21">
        <f>P17*30.4*cost!P18</f>
        <v>0</v>
      </c>
      <c r="AI17" s="21">
        <f>Q17*30.4*cost!Q18</f>
        <v>2.6544214037336884</v>
      </c>
      <c r="AJ17" s="21">
        <f>R17*30.4*cost!R18</f>
        <v>4.9233187372614999</v>
      </c>
      <c r="AK17" s="21">
        <f>S17*30.4*cost!S18</f>
        <v>3.9820065345555471</v>
      </c>
      <c r="AM17" s="9">
        <f>HLOOKUP(TFP!$C$14,'current consumption'!$C$5:$S$63,'current consumption'!$A17,FALSE)</f>
        <v>2.5102835212736587E-3</v>
      </c>
      <c r="AN17" s="113">
        <f>$AM17*HLOOKUP(TFP!$C$14,cost!$C$6:$S$64,cost!$A18,FALSE)</f>
        <v>1.1879771280439934E-3</v>
      </c>
      <c r="AO17">
        <f t="shared" si="0"/>
        <v>3.6114504692537394E-2</v>
      </c>
      <c r="AQ17" s="20">
        <f t="shared" si="1"/>
        <v>2.6518353772840196E-2</v>
      </c>
    </row>
    <row r="18" spans="1:43" x14ac:dyDescent="0.2">
      <c r="A18" s="75">
        <v>14</v>
      </c>
      <c r="B18" s="3" t="s">
        <v>451</v>
      </c>
      <c r="C18" s="21">
        <v>1.2472462126733967E-2</v>
      </c>
      <c r="D18" s="21">
        <v>8.0810847069792205E-3</v>
      </c>
      <c r="E18" s="21">
        <v>0.45798760792210091</v>
      </c>
      <c r="F18" s="21">
        <v>1.6763235402962057E-3</v>
      </c>
      <c r="G18" s="21">
        <v>1.192035530367355E-3</v>
      </c>
      <c r="H18" s="21">
        <v>4.6588022688431825E-4</v>
      </c>
      <c r="I18" s="21">
        <v>6.1078235495807309E-10</v>
      </c>
      <c r="J18" s="21">
        <v>6.0903958754723315E-6</v>
      </c>
      <c r="K18" s="21">
        <v>1.4388989322315642E-5</v>
      </c>
      <c r="L18" s="21">
        <v>3.0931176516404498E-3</v>
      </c>
      <c r="M18" s="21">
        <v>4.4815198740911588E-4</v>
      </c>
      <c r="N18" s="21">
        <v>2.4533014560386342E-4</v>
      </c>
      <c r="O18" s="21">
        <v>2.5298037506522801E-3</v>
      </c>
      <c r="P18" s="21">
        <v>2.490462100339878E-3</v>
      </c>
      <c r="Q18">
        <v>1.087022276155967E-3</v>
      </c>
      <c r="R18" s="21">
        <v>7.7285998853351653E-4</v>
      </c>
      <c r="S18" s="21">
        <v>2.3682232172061169E-4</v>
      </c>
      <c r="T18" s="3"/>
      <c r="U18" s="21">
        <f>C18*30.4*cost!C19</f>
        <v>0.61121374280950791</v>
      </c>
      <c r="V18" s="21">
        <f>D18*30.4*cost!D19</f>
        <v>0.41297421950543178</v>
      </c>
      <c r="W18" s="21">
        <f>E18*30.4*cost!E19</f>
        <v>17.516349931715407</v>
      </c>
      <c r="X18" s="21">
        <f>F18*30.4*cost!F19</f>
        <v>0.16271984164084971</v>
      </c>
      <c r="Y18" s="21">
        <f>G18*30.4*cost!G19</f>
        <v>8.1267308352613976E-2</v>
      </c>
      <c r="Z18" s="21">
        <f>H18*30.4*cost!H19</f>
        <v>2.2994139371571926E-2</v>
      </c>
      <c r="AA18" s="21">
        <f>I18*30.4*cost!I19</f>
        <v>4.3070239814111293E-8</v>
      </c>
      <c r="AB18" s="21">
        <f>J18*30.4*cost!J19</f>
        <v>0</v>
      </c>
      <c r="AC18" s="21">
        <f>K18*30.4*cost!K19</f>
        <v>9.6836679823250659E-4</v>
      </c>
      <c r="AD18" s="21">
        <f>L18*30.4*cost!L19</f>
        <v>0.18558435975587945</v>
      </c>
      <c r="AE18" s="21">
        <f>M18*30.4*cost!M19</f>
        <v>2.9264741750130694E-2</v>
      </c>
      <c r="AF18" s="21">
        <f>N18*30.4*cost!N19</f>
        <v>1.7548542933516369E-2</v>
      </c>
      <c r="AG18" s="21">
        <f>O18*30.4*cost!O19</f>
        <v>0.17771801142306123</v>
      </c>
      <c r="AH18" s="21">
        <f>P18*30.4*cost!P19</f>
        <v>0</v>
      </c>
      <c r="AI18" s="21">
        <f>Q18*30.4*cost!Q19</f>
        <v>7.6561875247838376E-2</v>
      </c>
      <c r="AJ18" s="21">
        <f>R18*30.4*cost!R19</f>
        <v>5.144449644332489E-2</v>
      </c>
      <c r="AK18" s="21">
        <f>S18*30.4*cost!S19</f>
        <v>1.1577994175860369E-2</v>
      </c>
      <c r="AM18" s="9">
        <f>HLOOKUP(TFP!$C$14,'current consumption'!$C$5:$S$63,'current consumption'!$A18,FALSE)</f>
        <v>6.1221031551431125E-2</v>
      </c>
      <c r="AN18" s="113">
        <f>$AM18*HLOOKUP(TFP!$C$14,cost!$C$6:$S$64,cost!$A19,FALSE)</f>
        <v>0.14184080176859409</v>
      </c>
      <c r="AO18">
        <f t="shared" si="0"/>
        <v>4.3119603737652605</v>
      </c>
      <c r="AQ18" s="20">
        <f t="shared" si="1"/>
        <v>3.1662095775496981</v>
      </c>
    </row>
    <row r="19" spans="1:43" x14ac:dyDescent="0.2">
      <c r="A19" s="75">
        <v>15</v>
      </c>
      <c r="B19" s="3" t="s">
        <v>452</v>
      </c>
      <c r="C19" s="21">
        <v>3.2327701039543794E-4</v>
      </c>
      <c r="D19" s="21">
        <v>8.6173520143511997E-4</v>
      </c>
      <c r="E19" s="21">
        <v>2.1747388927219059E-4</v>
      </c>
      <c r="F19" s="21">
        <v>1.4462749937128341E-2</v>
      </c>
      <c r="G19" s="21">
        <v>5.7605313903581409E-4</v>
      </c>
      <c r="H19" s="21">
        <v>5.3588042301843655E-4</v>
      </c>
      <c r="I19" s="21">
        <v>0.29998393989693095</v>
      </c>
      <c r="J19" s="21">
        <v>0.29988223625999372</v>
      </c>
      <c r="K19" s="21">
        <v>0.17505635782651258</v>
      </c>
      <c r="L19" s="21">
        <v>2.4159328072251786E-3</v>
      </c>
      <c r="M19" s="21">
        <v>1.3311789997319504E-3</v>
      </c>
      <c r="N19" s="21">
        <v>8.7142892491614188E-4</v>
      </c>
      <c r="O19" s="21">
        <v>8.9322326016384908E-4</v>
      </c>
      <c r="P19" s="21">
        <v>1.745613447047186E-4</v>
      </c>
      <c r="Q19">
        <v>1.3329549907864052E-4</v>
      </c>
      <c r="R19" s="21">
        <v>1.0646436731497986E-3</v>
      </c>
      <c r="S19" s="21">
        <v>3.6970943023949601E-4</v>
      </c>
      <c r="T19" s="3"/>
      <c r="U19" s="21">
        <f>C19*30.4*cost!C20</f>
        <v>5.1735039968965084E-3</v>
      </c>
      <c r="V19" s="21">
        <f>D19*30.4*cost!D20</f>
        <v>1.3813341459978475E-2</v>
      </c>
      <c r="W19" s="21">
        <f>E19*30.4*cost!E20</f>
        <v>3.4907766179665726E-3</v>
      </c>
      <c r="X19" s="21">
        <f>F19*30.4*cost!F20</f>
        <v>0.23737139567133653</v>
      </c>
      <c r="Y19" s="21">
        <f>G19*30.4*cost!G20</f>
        <v>9.0088001178583645E-3</v>
      </c>
      <c r="Z19" s="21">
        <f>H19*30.4*cost!H20</f>
        <v>9.1098444784930739E-3</v>
      </c>
      <c r="AA19" s="21">
        <f>I19*30.4*cost!I20</f>
        <v>5.1077176643268283</v>
      </c>
      <c r="AB19" s="21">
        <f>J19*30.4*cost!J20</f>
        <v>0</v>
      </c>
      <c r="AC19" s="21">
        <f>K19*30.4*cost!K20</f>
        <v>2.6296869705100536</v>
      </c>
      <c r="AD19" s="21">
        <f>L19*30.4*cost!L20</f>
        <v>3.9287393376245663E-2</v>
      </c>
      <c r="AE19" s="21">
        <f>M19*30.4*cost!M20</f>
        <v>2.3292177097658993E-2</v>
      </c>
      <c r="AF19" s="21">
        <f>N19*30.4*cost!N20</f>
        <v>1.4232554136658016E-2</v>
      </c>
      <c r="AG19" s="21">
        <f>O19*30.4*cost!O20</f>
        <v>1.376933599072484E-2</v>
      </c>
      <c r="AH19" s="21">
        <f>P19*30.4*cost!P20</f>
        <v>0</v>
      </c>
      <c r="AI19" s="21">
        <f>Q19*30.4*cost!Q20</f>
        <v>2.0603885172624154E-3</v>
      </c>
      <c r="AJ19" s="21">
        <f>R19*30.4*cost!R20</f>
        <v>1.6574615913849341E-2</v>
      </c>
      <c r="AK19" s="21">
        <f>S19*30.4*cost!S20</f>
        <v>5.8112229590035567E-3</v>
      </c>
      <c r="AM19" s="9">
        <f>HLOOKUP(TFP!$C$14,'current consumption'!$C$5:$S$63,'current consumption'!$A19,FALSE)</f>
        <v>4.8508046141067247E-2</v>
      </c>
      <c r="AN19" s="113">
        <f>$AM19*HLOOKUP(TFP!$C$14,cost!$C$6:$S$64,cost!$A20,FALSE)</f>
        <v>2.4664586229647484E-2</v>
      </c>
      <c r="AO19">
        <f t="shared" si="0"/>
        <v>0.74980342138128342</v>
      </c>
      <c r="AQ19" s="20">
        <f t="shared" si="1"/>
        <v>0.5505697103574988</v>
      </c>
    </row>
    <row r="20" spans="1:43" x14ac:dyDescent="0.2">
      <c r="A20" s="75">
        <v>16</v>
      </c>
      <c r="B20" s="3" t="s">
        <v>453</v>
      </c>
      <c r="C20" s="21">
        <v>1.0564989412281465E-3</v>
      </c>
      <c r="D20" s="21">
        <v>1.1412465033355155E-3</v>
      </c>
      <c r="E20" s="21">
        <v>1.7951206023546985E-4</v>
      </c>
      <c r="F20" s="21">
        <v>4.1368113050143209E-3</v>
      </c>
      <c r="G20" s="21">
        <v>5.230366352612486E-4</v>
      </c>
      <c r="H20" s="21">
        <v>4.1979894829288821E-4</v>
      </c>
      <c r="I20" s="21">
        <v>6.6915164662378481E-6</v>
      </c>
      <c r="J20" s="21">
        <v>2.0695067733899911E-5</v>
      </c>
      <c r="K20" s="21">
        <v>1.1201211222819727E-4</v>
      </c>
      <c r="L20" s="21">
        <v>5.7158180145777792E-3</v>
      </c>
      <c r="M20" s="21">
        <v>1.6613606002651579E-3</v>
      </c>
      <c r="N20" s="21">
        <v>3.7256574514057868E-4</v>
      </c>
      <c r="O20" s="21">
        <v>3.0166557847244504E-3</v>
      </c>
      <c r="P20" s="21">
        <v>1.3657388690452618E-3</v>
      </c>
      <c r="Q20">
        <v>3.9686545783755844E-4</v>
      </c>
      <c r="R20" s="21">
        <v>1.6618947198334679E-3</v>
      </c>
      <c r="S20" s="21">
        <v>4.1903161830697706E-4</v>
      </c>
      <c r="T20" s="3"/>
      <c r="U20" s="21">
        <f>C20*30.4*cost!C21</f>
        <v>2.4434192557228823E-2</v>
      </c>
      <c r="V20" s="21">
        <f>D20*30.4*cost!D21</f>
        <v>2.7336236684522942E-2</v>
      </c>
      <c r="W20" s="21">
        <f>E20*30.4*cost!E21</f>
        <v>4.0219040792179037E-3</v>
      </c>
      <c r="X20" s="21">
        <f>F20*30.4*cost!F21</f>
        <v>0.11214094101550039</v>
      </c>
      <c r="Y20" s="21">
        <f>G20*30.4*cost!G21</f>
        <v>1.3387686125493738E-2</v>
      </c>
      <c r="Z20" s="21">
        <f>H20*30.4*cost!H21</f>
        <v>1.1386898507265496E-2</v>
      </c>
      <c r="AA20" s="21">
        <f>I20*30.4*cost!I21</f>
        <v>1.741852897330534E-4</v>
      </c>
      <c r="AB20" s="21">
        <f>J20*30.4*cost!J21</f>
        <v>0</v>
      </c>
      <c r="AC20" s="21">
        <f>K20*30.4*cost!K21</f>
        <v>3.076814598538701E-3</v>
      </c>
      <c r="AD20" s="21">
        <f>L20*30.4*cost!L21</f>
        <v>0.17676222671996367</v>
      </c>
      <c r="AE20" s="21">
        <f>M20*30.4*cost!M21</f>
        <v>4.8123646905357233E-2</v>
      </c>
      <c r="AF20" s="21">
        <f>N20*30.4*cost!N21</f>
        <v>8.963469871103729E-3</v>
      </c>
      <c r="AG20" s="21">
        <f>O20*30.4*cost!O21</f>
        <v>8.6172027046578684E-2</v>
      </c>
      <c r="AH20" s="21">
        <f>P20*30.4*cost!P21</f>
        <v>0</v>
      </c>
      <c r="AI20" s="21">
        <f>Q20*30.4*cost!Q21</f>
        <v>9.6926134798603486E-3</v>
      </c>
      <c r="AJ20" s="21">
        <f>R20*30.4*cost!R21</f>
        <v>4.1886807341366385E-2</v>
      </c>
      <c r="AK20" s="21">
        <f>S20*30.4*cost!S21</f>
        <v>9.7950491064114666E-3</v>
      </c>
      <c r="AM20" s="9">
        <f>HLOOKUP(TFP!$C$14,'current consumption'!$C$5:$S$63,'current consumption'!$A20,FALSE)</f>
        <v>0.13613840169649868</v>
      </c>
      <c r="AN20" s="113">
        <f>$AM20*HLOOKUP(TFP!$C$14,cost!$C$6:$S$64,cost!$A21,FALSE)</f>
        <v>0.10937162321762962</v>
      </c>
      <c r="AO20">
        <f t="shared" si="0"/>
        <v>3.3248973458159403</v>
      </c>
      <c r="AQ20" s="20">
        <f t="shared" si="1"/>
        <v>2.4414236004445016</v>
      </c>
    </row>
    <row r="21" spans="1:43" x14ac:dyDescent="0.2">
      <c r="A21" s="75">
        <v>17</v>
      </c>
      <c r="B21" s="3" t="s">
        <v>445</v>
      </c>
      <c r="C21" s="21">
        <v>8.7629706283206946E-2</v>
      </c>
      <c r="D21" s="21">
        <v>8.9197709527922428E-2</v>
      </c>
      <c r="E21" s="21">
        <v>0.12969624136830821</v>
      </c>
      <c r="F21" s="21">
        <v>4.5393684478907868E-2</v>
      </c>
      <c r="G21" s="21">
        <v>0.16212030171038525</v>
      </c>
      <c r="H21" s="21">
        <v>0.21351196760780758</v>
      </c>
      <c r="I21" s="21">
        <v>1.4267131834258546E-6</v>
      </c>
      <c r="J21" s="21">
        <v>4.0166378290998639E-5</v>
      </c>
      <c r="K21" s="21">
        <v>0.7380316903484494</v>
      </c>
      <c r="L21" s="21">
        <v>0.2679293021212098</v>
      </c>
      <c r="M21" s="21">
        <v>0.92663987333451847</v>
      </c>
      <c r="N21" s="21">
        <v>0.48081375151041977</v>
      </c>
      <c r="O21" s="21">
        <v>0.96162750302083955</v>
      </c>
      <c r="P21" s="21">
        <v>1.5892959116279606</v>
      </c>
      <c r="Q21">
        <v>0.84253063150095764</v>
      </c>
      <c r="R21" s="21">
        <v>0.77840489979661054</v>
      </c>
      <c r="S21" s="21">
        <v>0.53480330302391577</v>
      </c>
      <c r="T21" s="3"/>
      <c r="U21" s="21">
        <f>C21*30.4*cost!C22</f>
        <v>0.65770956915507683</v>
      </c>
      <c r="V21" s="21">
        <f>D21*30.4*cost!D22</f>
        <v>0.70163665001068776</v>
      </c>
      <c r="W21" s="21">
        <f>E21*30.4*cost!E22</f>
        <v>2.0222064254566501</v>
      </c>
      <c r="X21" s="21">
        <f>F21*30.4*cost!F22</f>
        <v>0.7224387911375364</v>
      </c>
      <c r="Y21" s="21">
        <f>G21*30.4*cost!G22</f>
        <v>2.456947970778363</v>
      </c>
      <c r="Z21" s="21">
        <f>H21*30.4*cost!H22</f>
        <v>3.8432346923127914</v>
      </c>
      <c r="AA21" s="21">
        <f>I21*30.4*cost!I22</f>
        <v>2.5790948826275367E-5</v>
      </c>
      <c r="AB21" s="21">
        <f>J21*30.4*cost!J22</f>
        <v>0</v>
      </c>
      <c r="AC21" s="21">
        <f>K21*30.4*cost!K22</f>
        <v>11.472769946680804</v>
      </c>
      <c r="AD21" s="21">
        <f>L21*30.4*cost!L22</f>
        <v>4.2045573291142047</v>
      </c>
      <c r="AE21" s="21">
        <f>M21*30.4*cost!M22</f>
        <v>17.084326996548462</v>
      </c>
      <c r="AF21" s="21">
        <f>N21*30.4*cost!N22</f>
        <v>3.6477077329295375</v>
      </c>
      <c r="AG21" s="21">
        <f>O21*30.4*cost!O22</f>
        <v>7.164807004833464</v>
      </c>
      <c r="AH21" s="21">
        <f>P21*30.4*cost!P22</f>
        <v>0</v>
      </c>
      <c r="AI21" s="21">
        <f>Q21*30.4*cost!Q22</f>
        <v>14.314016521031771</v>
      </c>
      <c r="AJ21" s="21">
        <f>R21*30.4*cost!R22</f>
        <v>12.876359582260935</v>
      </c>
      <c r="AK21" s="21">
        <f>S21*30.4*cost!S22</f>
        <v>8.568070011166812</v>
      </c>
      <c r="AM21" s="9">
        <f>HLOOKUP(TFP!$C$14,'current consumption'!$C$5:$S$63,'current consumption'!$A21,FALSE)</f>
        <v>2.1689437584492779E-2</v>
      </c>
      <c r="AN21" s="113">
        <f>$AM21*HLOOKUP(TFP!$C$14,cost!$C$6:$S$64,cost!$A22,FALSE)</f>
        <v>1.2121336895054612E-2</v>
      </c>
      <c r="AO21">
        <f t="shared" si="0"/>
        <v>0.36848864160966016</v>
      </c>
      <c r="AQ21" s="20">
        <f t="shared" si="1"/>
        <v>0.27057583213919839</v>
      </c>
    </row>
    <row r="22" spans="1:43" x14ac:dyDescent="0.2">
      <c r="A22" s="75">
        <v>18</v>
      </c>
      <c r="B22" s="3" t="s">
        <v>446</v>
      </c>
      <c r="C22" s="21">
        <v>1.099051776516773E-2</v>
      </c>
      <c r="D22" s="21">
        <v>8.7993087673090484E-3</v>
      </c>
      <c r="E22" s="21">
        <v>1.7547364898148885E-3</v>
      </c>
      <c r="F22" s="21">
        <v>8.6006754278946482E-2</v>
      </c>
      <c r="G22" s="21">
        <v>1.1780608515317625E-2</v>
      </c>
      <c r="H22" s="21">
        <v>2.4067926842078666E-3</v>
      </c>
      <c r="I22" s="21">
        <v>7.9418734192856953E-6</v>
      </c>
      <c r="J22" s="21">
        <v>5.6902293982941992E-5</v>
      </c>
      <c r="K22" s="21">
        <v>8.3602710229940211E-5</v>
      </c>
      <c r="L22" s="21">
        <v>2.3938947056979822E-2</v>
      </c>
      <c r="M22" s="21">
        <v>2.463632404212815E-3</v>
      </c>
      <c r="N22" s="21">
        <v>0.34289093945744376</v>
      </c>
      <c r="O22" s="21">
        <v>1.5894708505962033E-2</v>
      </c>
      <c r="P22" s="21">
        <v>7.2414612622248142E-3</v>
      </c>
      <c r="Q22">
        <v>1.3863468692262154E-3</v>
      </c>
      <c r="R22" s="21">
        <v>1.4801859918525494E-2</v>
      </c>
      <c r="S22" s="21">
        <v>3.4538348591035355E-3</v>
      </c>
      <c r="T22" s="3"/>
      <c r="U22" s="21">
        <f>C22*30.4*cost!C23</f>
        <v>0.35984897739376698</v>
      </c>
      <c r="V22" s="21">
        <f>D22*30.4*cost!D23</f>
        <v>0.32620906331086791</v>
      </c>
      <c r="W22" s="21">
        <f>E22*30.4*cost!E23</f>
        <v>7.029876345511836E-2</v>
      </c>
      <c r="X22" s="21">
        <f>F22*30.4*cost!F23</f>
        <v>3.8154474576804636</v>
      </c>
      <c r="Y22" s="21">
        <f>G22*30.4*cost!G23</f>
        <v>0.43263459525265002</v>
      </c>
      <c r="Z22" s="21">
        <f>H22*30.4*cost!H23</f>
        <v>0.10403716526033459</v>
      </c>
      <c r="AA22" s="21">
        <f>I22*30.4*cost!I23</f>
        <v>2.3356019881789377E-4</v>
      </c>
      <c r="AB22" s="21">
        <f>J22*30.4*cost!J23</f>
        <v>0</v>
      </c>
      <c r="AC22" s="21">
        <f>K22*30.4*cost!K23</f>
        <v>2.8139972195350572E-3</v>
      </c>
      <c r="AD22" s="21">
        <f>L22*30.4*cost!L23</f>
        <v>0.57121646693414263</v>
      </c>
      <c r="AE22" s="21">
        <f>M22*30.4*cost!M23</f>
        <v>9.8338959798216996E-2</v>
      </c>
      <c r="AF22" s="21">
        <f>N22*30.4*cost!N23</f>
        <v>12.955572984468128</v>
      </c>
      <c r="AG22" s="21">
        <f>O22*30.4*cost!O23</f>
        <v>0.69747219335532018</v>
      </c>
      <c r="AH22" s="21">
        <f>P22*30.4*cost!P23</f>
        <v>0</v>
      </c>
      <c r="AI22" s="21">
        <f>Q22*30.4*cost!Q23</f>
        <v>4.4957482647643349E-2</v>
      </c>
      <c r="AJ22" s="21">
        <f>R22*30.4*cost!R23</f>
        <v>0.38685385810761969</v>
      </c>
      <c r="AK22" s="21">
        <f>S22*30.4*cost!S23</f>
        <v>9.3861685115889326E-2</v>
      </c>
      <c r="AM22" s="9">
        <f>HLOOKUP(TFP!$C$14,'current consumption'!$C$5:$S$63,'current consumption'!$A22,FALSE)</f>
        <v>0.14583251580375101</v>
      </c>
      <c r="AN22" s="113">
        <f>$AM22*HLOOKUP(TFP!$C$14,cost!$C$6:$S$64,cost!$A23,FALSE)</f>
        <v>0.15556463120344538</v>
      </c>
      <c r="AO22">
        <f t="shared" si="0"/>
        <v>4.7291647885847397</v>
      </c>
      <c r="AQ22" s="20">
        <f t="shared" si="1"/>
        <v>3.4725566910422963</v>
      </c>
    </row>
    <row r="23" spans="1:43" x14ac:dyDescent="0.2">
      <c r="A23" s="75">
        <v>19</v>
      </c>
      <c r="B23" s="2" t="s">
        <v>578</v>
      </c>
      <c r="C23" s="21">
        <v>1.373036264070541E-3</v>
      </c>
      <c r="D23" s="21">
        <v>1.5614666237522405E-3</v>
      </c>
      <c r="E23" s="21">
        <v>5.999243086085319E-4</v>
      </c>
      <c r="F23" s="21">
        <v>6.9877889767684942E-3</v>
      </c>
      <c r="G23" s="21">
        <v>5.2604063287988367E-4</v>
      </c>
      <c r="H23" s="21">
        <v>1.2118769975261931E-3</v>
      </c>
      <c r="I23" s="21">
        <v>6.4340227129836026E-6</v>
      </c>
      <c r="J23" s="21">
        <v>1.0305261098664542E-4</v>
      </c>
      <c r="K23" s="21">
        <v>7.6261747083901341E-5</v>
      </c>
      <c r="L23" s="21">
        <v>7.5501170741993119E-3</v>
      </c>
      <c r="M23" s="21">
        <v>8.9129786563715483E-4</v>
      </c>
      <c r="N23" s="21">
        <v>6.7081986123548477E-5</v>
      </c>
      <c r="O23" s="21">
        <v>8.6253085144322715E-4</v>
      </c>
      <c r="P23" s="21">
        <v>4.0189096109556681E-4</v>
      </c>
      <c r="Q23">
        <v>1.3736453293517771E-4</v>
      </c>
      <c r="R23" s="21">
        <v>4.7329540635091287E-4</v>
      </c>
      <c r="S23" s="21">
        <v>3.2634365469322643E-4</v>
      </c>
      <c r="T23" s="3"/>
      <c r="U23" s="21">
        <f>C23*30.4*cost!C24</f>
        <v>2.5479258437974481E-2</v>
      </c>
      <c r="V23" s="21">
        <f>D23*30.4*cost!D24</f>
        <v>2.7478753142505415E-2</v>
      </c>
      <c r="W23" s="21">
        <f>E23*30.4*cost!E24</f>
        <v>1.0312659008369656E-2</v>
      </c>
      <c r="X23" s="21">
        <f>F23*30.4*cost!F24</f>
        <v>0.13869792750349758</v>
      </c>
      <c r="Y23" s="21">
        <f>G23*30.4*cost!G24</f>
        <v>9.5269896047518524E-3</v>
      </c>
      <c r="Z23" s="21">
        <f>H23*30.4*cost!H24</f>
        <v>2.1658197839413813E-2</v>
      </c>
      <c r="AA23" s="21">
        <f>I23*30.4*cost!I24</f>
        <v>1.2669231231437534E-4</v>
      </c>
      <c r="AB23" s="21">
        <f>J23*30.4*cost!J24</f>
        <v>0</v>
      </c>
      <c r="AC23" s="21">
        <f>K23*30.4*cost!K24</f>
        <v>1.5976391562331483E-3</v>
      </c>
      <c r="AD23" s="21">
        <f>L23*30.4*cost!L24</f>
        <v>0.16316369257100571</v>
      </c>
      <c r="AE23" s="21">
        <f>M23*30.4*cost!M24</f>
        <v>1.9016677760772656E-2</v>
      </c>
      <c r="AF23" s="21">
        <f>N23*30.4*cost!N24</f>
        <v>1.3984394821659537E-3</v>
      </c>
      <c r="AG23" s="21">
        <f>O23*30.4*cost!O24</f>
        <v>1.6771742168055818E-2</v>
      </c>
      <c r="AH23" s="21">
        <f>P23*30.4*cost!P24</f>
        <v>0</v>
      </c>
      <c r="AI23" s="21">
        <f>Q23*30.4*cost!Q24</f>
        <v>2.7601612600632879E-3</v>
      </c>
      <c r="AJ23" s="21">
        <f>R23*30.4*cost!R24</f>
        <v>9.8701262627175126E-3</v>
      </c>
      <c r="AK23" s="21">
        <f>S23*30.4*cost!S24</f>
        <v>5.7707437446223083E-3</v>
      </c>
      <c r="AM23" s="9">
        <f>HLOOKUP(TFP!$C$14,'current consumption'!$C$5:$S$63,'current consumption'!$A23,FALSE)</f>
        <v>0.10371193734590572</v>
      </c>
      <c r="AN23" s="113">
        <f>$AM23*HLOOKUP(TFP!$C$14,cost!$C$6:$S$64,cost!$A24,FALSE)</f>
        <v>6.8551191172126297E-2</v>
      </c>
      <c r="AO23">
        <f t="shared" si="0"/>
        <v>2.0839562116326391</v>
      </c>
      <c r="AQ23" s="20">
        <f t="shared" si="1"/>
        <v>1.5302186348024753</v>
      </c>
    </row>
    <row r="24" spans="1:43" x14ac:dyDescent="0.2">
      <c r="A24" s="75">
        <v>20</v>
      </c>
      <c r="B24" s="3" t="s">
        <v>447</v>
      </c>
      <c r="C24" s="21">
        <v>2.7900785294235129E-3</v>
      </c>
      <c r="D24" s="21">
        <v>1.2323508822766564E-3</v>
      </c>
      <c r="E24" s="21">
        <v>6.7432648335245E-3</v>
      </c>
      <c r="F24" s="21">
        <v>0.16228640857218973</v>
      </c>
      <c r="G24" s="21">
        <v>2.5256481249994879E-3</v>
      </c>
      <c r="H24" s="21">
        <v>3.3335920569722761E-3</v>
      </c>
      <c r="I24" s="21">
        <v>3.6665655230676942E-6</v>
      </c>
      <c r="J24" s="21">
        <v>4.1434841150758221E-5</v>
      </c>
      <c r="K24" s="21">
        <v>7.8435690945209173E-5</v>
      </c>
      <c r="L24" s="21">
        <v>8.8054887145744554E-3</v>
      </c>
      <c r="M24" s="21">
        <v>7.2128755349870957E-4</v>
      </c>
      <c r="N24" s="21">
        <v>1.0900183113490037E-4</v>
      </c>
      <c r="O24" s="21">
        <v>1.6961633928445623E-3</v>
      </c>
      <c r="P24" s="21">
        <v>3.1808100519751257E-4</v>
      </c>
      <c r="Q24">
        <v>8.4893501589548869E-4</v>
      </c>
      <c r="R24" s="21">
        <v>1.0866902362247036E-3</v>
      </c>
      <c r="S24" s="21">
        <v>1.680686103668147E-3</v>
      </c>
      <c r="T24" s="3"/>
      <c r="U24" s="21">
        <f>C24*30.4*cost!C25</f>
        <v>5.325631194799408E-2</v>
      </c>
      <c r="V24" s="21">
        <f>D24*30.4*cost!D25</f>
        <v>2.5081445883168189E-2</v>
      </c>
      <c r="W24" s="21">
        <f>E24*30.4*cost!E25</f>
        <v>0.15322834846717129</v>
      </c>
      <c r="X24" s="21">
        <f>F24*30.4*cost!F25</f>
        <v>3.7679469709846098</v>
      </c>
      <c r="Y24" s="21">
        <f>G24*30.4*cost!G25</f>
        <v>6.7034295755230178E-2</v>
      </c>
      <c r="Z24" s="21">
        <f>H24*30.4*cost!H25</f>
        <v>7.5121261570452014E-2</v>
      </c>
      <c r="AA24" s="21">
        <f>I24*30.4*cost!I25</f>
        <v>9.9927881977382397E-5</v>
      </c>
      <c r="AB24" s="21">
        <f>J24*30.4*cost!J25</f>
        <v>0</v>
      </c>
      <c r="AC24" s="21">
        <f>K24*30.4*cost!K25</f>
        <v>2.1868328561615883E-3</v>
      </c>
      <c r="AD24" s="21">
        <f>L24*30.4*cost!L25</f>
        <v>0.31560571992904785</v>
      </c>
      <c r="AE24" s="21">
        <f>M24*30.4*cost!M25</f>
        <v>2.6479811559672061E-2</v>
      </c>
      <c r="AF24" s="21">
        <f>N24*30.4*cost!N25</f>
        <v>2.8520653446703638E-3</v>
      </c>
      <c r="AG24" s="21">
        <f>O24*30.4*cost!O25</f>
        <v>4.5246284035915442E-2</v>
      </c>
      <c r="AH24" s="21">
        <f>P24*30.4*cost!P25</f>
        <v>0</v>
      </c>
      <c r="AI24" s="21">
        <f>Q24*30.4*cost!Q25</f>
        <v>2.2427883139873865E-2</v>
      </c>
      <c r="AJ24" s="21">
        <f>R24*30.4*cost!R25</f>
        <v>2.8742403187471899E-2</v>
      </c>
      <c r="AK24" s="21">
        <f>S24*30.4*cost!S25</f>
        <v>5.6823864177805605E-2</v>
      </c>
      <c r="AM24" s="9">
        <f>HLOOKUP(TFP!$C$14,'current consumption'!$C$5:$S$63,'current consumption'!$A24,FALSE)</f>
        <v>0.13851813120062967</v>
      </c>
      <c r="AN24" s="113">
        <f>$AM24*HLOOKUP(TFP!$C$14,cost!$C$6:$S$64,cost!$A25,FALSE)</f>
        <v>0.12037793177520217</v>
      </c>
      <c r="AO24">
        <f t="shared" si="0"/>
        <v>3.6594891259661457</v>
      </c>
      <c r="AQ24" s="20">
        <f t="shared" si="1"/>
        <v>2.6871094618746039</v>
      </c>
    </row>
    <row r="25" spans="1:43" x14ac:dyDescent="0.2">
      <c r="A25" s="75">
        <v>21</v>
      </c>
      <c r="B25" s="2" t="s">
        <v>579</v>
      </c>
      <c r="C25" s="21">
        <v>2.9301294585818991E-3</v>
      </c>
      <c r="D25" s="21">
        <v>2.7946069774107282E-2</v>
      </c>
      <c r="E25" s="21">
        <v>7.6964516428760822E-3</v>
      </c>
      <c r="F25" s="21">
        <v>0.1001757894904564</v>
      </c>
      <c r="G25" s="21">
        <v>0.21331526630450443</v>
      </c>
      <c r="H25" s="21">
        <v>0.35677820548072758</v>
      </c>
      <c r="I25" s="21">
        <v>0.22937668608681333</v>
      </c>
      <c r="J25" s="21">
        <v>3.4985707132117197E-4</v>
      </c>
      <c r="K25" s="21">
        <v>0.22112858347107026</v>
      </c>
      <c r="L25" s="21">
        <v>0.13112607835661122</v>
      </c>
      <c r="M25" s="21">
        <v>5.9633585917129922E-3</v>
      </c>
      <c r="N25" s="21">
        <v>0.20402002525706869</v>
      </c>
      <c r="O25" s="21">
        <v>5.7711505318825546E-3</v>
      </c>
      <c r="P25" s="21">
        <v>3.1613781762349154E-3</v>
      </c>
      <c r="Q25">
        <v>7.3966756821391467E-4</v>
      </c>
      <c r="R25" s="21">
        <v>8.0776433622556845E-3</v>
      </c>
      <c r="S25" s="21">
        <v>3.0734094009373853E-3</v>
      </c>
      <c r="T25" s="3"/>
      <c r="U25" s="21">
        <f>C25*30.4*cost!C26</f>
        <v>2.2795660347825139E-2</v>
      </c>
      <c r="V25" s="21">
        <f>D25*30.4*cost!D26</f>
        <v>0.25408864722596164</v>
      </c>
      <c r="W25" s="21">
        <f>E25*30.4*cost!E26</f>
        <v>6.4304923214005633E-2</v>
      </c>
      <c r="X25" s="21">
        <f>F25*30.4*cost!F26</f>
        <v>0.92727804049189189</v>
      </c>
      <c r="Y25" s="21">
        <f>G25*30.4*cost!G26</f>
        <v>1.8788336298609056</v>
      </c>
      <c r="Z25" s="21">
        <f>H25*30.4*cost!H26</f>
        <v>3.8104921463683974</v>
      </c>
      <c r="AA25" s="21">
        <f>I25*30.4*cost!I26</f>
        <v>1.9530742238242282</v>
      </c>
      <c r="AB25" s="21">
        <f>J25*30.4*cost!J26</f>
        <v>0</v>
      </c>
      <c r="AC25" s="21">
        <f>K25*30.4*cost!K26</f>
        <v>1.9349766170869678</v>
      </c>
      <c r="AD25" s="21">
        <f>L25*30.4*cost!L26</f>
        <v>1.1847689785019311</v>
      </c>
      <c r="AE25" s="21">
        <f>M25*30.4*cost!M26</f>
        <v>5.0359770042634026E-2</v>
      </c>
      <c r="AF25" s="21">
        <f>N25*30.4*cost!N26</f>
        <v>1.6936629656003157</v>
      </c>
      <c r="AG25" s="21">
        <f>O25*30.4*cost!O26</f>
        <v>4.8740791880415107E-2</v>
      </c>
      <c r="AH25" s="21">
        <f>P25*30.4*cost!P26</f>
        <v>0</v>
      </c>
      <c r="AI25" s="21">
        <f>Q25*30.4*cost!Q26</f>
        <v>6.9505823717141051E-3</v>
      </c>
      <c r="AJ25" s="21">
        <f>R25*30.4*cost!R26</f>
        <v>7.6898128588773845E-2</v>
      </c>
      <c r="AK25" s="21">
        <f>S25*30.4*cost!S26</f>
        <v>2.4654214026473015E-2</v>
      </c>
      <c r="AM25" s="9">
        <f>HLOOKUP(TFP!$C$14,'current consumption'!$C$5:$S$63,'current consumption'!$A25,FALSE)</f>
        <v>0.26220858125590718</v>
      </c>
      <c r="AN25" s="113">
        <f>$AM25*HLOOKUP(TFP!$C$14,cost!$C$6:$S$64,cost!$A26,FALSE)</f>
        <v>8.105091737138749E-2</v>
      </c>
      <c r="AO25">
        <f t="shared" si="0"/>
        <v>2.4639478880901797</v>
      </c>
      <c r="AQ25" s="20">
        <f t="shared" si="1"/>
        <v>1.8092409775654352</v>
      </c>
    </row>
    <row r="26" spans="1:43" x14ac:dyDescent="0.2">
      <c r="A26" s="75">
        <v>22</v>
      </c>
      <c r="B26" s="2" t="s">
        <v>580</v>
      </c>
      <c r="C26" s="21">
        <v>3.8596621220648897E-3</v>
      </c>
      <c r="D26" s="21">
        <v>2.2401383799586254E-3</v>
      </c>
      <c r="E26" s="21">
        <v>3.025890353763334E-3</v>
      </c>
      <c r="F26" s="21">
        <v>2.2362372024284958E-2</v>
      </c>
      <c r="G26" s="21">
        <v>5.3941539774893296E-3</v>
      </c>
      <c r="H26" s="21">
        <v>3.3466118921619396E-3</v>
      </c>
      <c r="I26" s="21">
        <v>2.2278008592590594E-5</v>
      </c>
      <c r="J26" s="21">
        <v>3.6256484648609916E-4</v>
      </c>
      <c r="K26" s="21">
        <v>2.8990162897519719E-4</v>
      </c>
      <c r="L26" s="21">
        <v>3.1085595114353704E-2</v>
      </c>
      <c r="M26" s="21">
        <v>4.0809232737835195E-3</v>
      </c>
      <c r="N26" s="21">
        <v>5.5680120067734919E-4</v>
      </c>
      <c r="O26" s="21">
        <v>1.8062835523363355E-2</v>
      </c>
      <c r="P26" s="21">
        <v>7.3402684485001689E-3</v>
      </c>
      <c r="Q26">
        <v>1.5995901866374519E-3</v>
      </c>
      <c r="R26" s="21">
        <v>5.0970989533344465E-3</v>
      </c>
      <c r="S26" s="21">
        <v>3.8191505323211124E-3</v>
      </c>
      <c r="T26" s="3"/>
      <c r="U26" s="21">
        <f>C26*30.4*cost!C27</f>
        <v>5.5841373057524728E-2</v>
      </c>
      <c r="V26" s="21">
        <f>D26*30.4*cost!D27</f>
        <v>3.6931747775876433E-2</v>
      </c>
      <c r="W26" s="21">
        <f>E26*30.4*cost!E27</f>
        <v>4.5724645648182113E-2</v>
      </c>
      <c r="X26" s="21">
        <f>F26*30.4*cost!F27</f>
        <v>0.42414599561826799</v>
      </c>
      <c r="Y26" s="21">
        <f>G26*30.4*cost!G27</f>
        <v>0.11040996985324641</v>
      </c>
      <c r="Z26" s="21">
        <f>H26*30.4*cost!H27</f>
        <v>6.3385613766059806E-2</v>
      </c>
      <c r="AA26" s="21">
        <f>I26*30.4*cost!I27</f>
        <v>4.4868273823058002E-4</v>
      </c>
      <c r="AB26" s="21">
        <f>J26*30.4*cost!J27</f>
        <v>0</v>
      </c>
      <c r="AC26" s="21">
        <f>K26*30.4*cost!K27</f>
        <v>6.2042908846787802E-3</v>
      </c>
      <c r="AD26" s="21">
        <f>L26*30.4*cost!L27</f>
        <v>0.59581139717325216</v>
      </c>
      <c r="AE26" s="21">
        <f>M26*30.4*cost!M27</f>
        <v>8.5053351035164607E-2</v>
      </c>
      <c r="AF26" s="21">
        <f>N26*30.4*cost!N27</f>
        <v>1.0635657648563923E-2</v>
      </c>
      <c r="AG26" s="21">
        <f>O26*30.4*cost!O27</f>
        <v>0.34195530333595964</v>
      </c>
      <c r="AH26" s="21">
        <f>P26*30.4*cost!P27</f>
        <v>0</v>
      </c>
      <c r="AI26" s="21">
        <f>Q26*30.4*cost!Q27</f>
        <v>3.2689368472565206E-2</v>
      </c>
      <c r="AJ26" s="21">
        <f>R26*30.4*cost!R27</f>
        <v>8.5063316394340296E-2</v>
      </c>
      <c r="AK26" s="21">
        <f>S26*30.4*cost!S27</f>
        <v>5.7980883301445768E-2</v>
      </c>
      <c r="AM26" s="9">
        <f>HLOOKUP(TFP!$C$14,'current consumption'!$C$5:$S$63,'current consumption'!$A26,FALSE)</f>
        <v>0.4827816376934429</v>
      </c>
      <c r="AN26" s="113">
        <f>$AM26*HLOOKUP(TFP!$C$14,cost!$C$6:$S$64,cost!$A27,FALSE)</f>
        <v>0.32454502742957858</v>
      </c>
      <c r="AO26">
        <f t="shared" si="0"/>
        <v>9.866168833859188</v>
      </c>
      <c r="AQ26" s="20">
        <f t="shared" si="1"/>
        <v>7.2445837966292705</v>
      </c>
    </row>
    <row r="27" spans="1:43" x14ac:dyDescent="0.2">
      <c r="A27" s="75">
        <v>23</v>
      </c>
      <c r="B27" s="3" t="s">
        <v>178</v>
      </c>
      <c r="C27" s="21">
        <v>1.4236356075891963E-2</v>
      </c>
      <c r="D27" s="21">
        <v>2.57258465459189E-2</v>
      </c>
      <c r="E27" s="21">
        <v>3.1909685779861895E-3</v>
      </c>
      <c r="F27" s="21">
        <v>5.6137634999237823E-2</v>
      </c>
      <c r="G27" s="21">
        <v>9.202201709973155E-3</v>
      </c>
      <c r="H27" s="21">
        <v>6.9750961819457927E-3</v>
      </c>
      <c r="I27" s="21">
        <v>1.1303949620024625E-5</v>
      </c>
      <c r="J27" s="21">
        <v>1.3760476776602043E-4</v>
      </c>
      <c r="K27" s="21">
        <v>2.2630337534596364E-4</v>
      </c>
      <c r="L27" s="21">
        <v>2.9994253854596708E-2</v>
      </c>
      <c r="M27" s="21">
        <v>4.2720240515174319E-3</v>
      </c>
      <c r="N27" s="21">
        <v>4.5793980170123609E-4</v>
      </c>
      <c r="O27" s="21">
        <v>1.1496654652999101E-2</v>
      </c>
      <c r="P27" s="21">
        <v>1.1403556725465573E-2</v>
      </c>
      <c r="Q27">
        <v>2.4768073239644535E-3</v>
      </c>
      <c r="R27" s="21">
        <v>8.2963223269397739E-3</v>
      </c>
      <c r="S27" s="21">
        <v>7.9615525130486645E-3</v>
      </c>
      <c r="T27" s="3"/>
      <c r="U27" s="21">
        <f>C27*30.4*cost!C28</f>
        <v>1.8429557321416405</v>
      </c>
      <c r="V27" s="21">
        <f>D27*30.4*cost!D28</f>
        <v>4.072991822520649</v>
      </c>
      <c r="W27" s="21">
        <f>E27*30.4*cost!E28</f>
        <v>0.38809538884835454</v>
      </c>
      <c r="X27" s="21">
        <f>F27*30.4*cost!F28</f>
        <v>8.3246741190363416</v>
      </c>
      <c r="Y27" s="21">
        <f>G27*30.4*cost!G28</f>
        <v>0.8441084770617211</v>
      </c>
      <c r="Z27" s="21">
        <f>H27*30.4*cost!H28</f>
        <v>0.56942814379385776</v>
      </c>
      <c r="AA27" s="21">
        <f>I27*30.4*cost!I28</f>
        <v>7.1995222516100632E-4</v>
      </c>
      <c r="AB27" s="21">
        <f>J27*30.4*cost!J28</f>
        <v>0</v>
      </c>
      <c r="AC27" s="21">
        <f>K27*30.4*cost!K28</f>
        <v>3.3323380466567999E-2</v>
      </c>
      <c r="AD27" s="21">
        <f>L27*30.4*cost!L28</f>
        <v>3.8482706348661768</v>
      </c>
      <c r="AE27" s="21">
        <f>M27*30.4*cost!M28</f>
        <v>0.38798318438187712</v>
      </c>
      <c r="AF27" s="21">
        <f>N27*30.4*cost!N28</f>
        <v>5.3756254245139579E-2</v>
      </c>
      <c r="AG27" s="21">
        <f>O27*30.4*cost!O28</f>
        <v>1.1885965175857847</v>
      </c>
      <c r="AH27" s="21">
        <f>P27*30.4*cost!P28</f>
        <v>0</v>
      </c>
      <c r="AI27" s="21">
        <f>Q27*30.4*cost!Q28</f>
        <v>0.29319016724571995</v>
      </c>
      <c r="AJ27" s="21">
        <f>R27*30.4*cost!R28</f>
        <v>0.56969368826865774</v>
      </c>
      <c r="AK27" s="21">
        <f>S27*30.4*cost!S28</f>
        <v>0.45255256262039217</v>
      </c>
      <c r="AM27" s="9">
        <f>HLOOKUP(TFP!$C$14,'current consumption'!$C$5:$S$63,'current consumption'!$A27,FALSE)</f>
        <v>0.50148821546087363</v>
      </c>
      <c r="AN27" s="113">
        <f>$AM27*HLOOKUP(TFP!$C$14,cost!$C$6:$S$64,cost!$A28,FALSE)</f>
        <v>1.9527395677699271</v>
      </c>
      <c r="AO27">
        <f t="shared" si="0"/>
        <v>59.363282860205778</v>
      </c>
      <c r="AQ27" s="20">
        <f t="shared" si="1"/>
        <v>43.589592309413831</v>
      </c>
    </row>
    <row r="28" spans="1:43" x14ac:dyDescent="0.2">
      <c r="A28" s="75">
        <v>24</v>
      </c>
      <c r="B28" s="1" t="s">
        <v>14</v>
      </c>
      <c r="C28" s="21">
        <v>0.25742155613872353</v>
      </c>
      <c r="D28" s="21">
        <v>0.36812352435485685</v>
      </c>
      <c r="E28" s="21">
        <v>0.20255676846152948</v>
      </c>
      <c r="F28" s="21">
        <v>0.14336747344276998</v>
      </c>
      <c r="G28" s="21">
        <v>0.32277748207734891</v>
      </c>
      <c r="H28" s="21">
        <v>0.84309294838362325</v>
      </c>
      <c r="I28" s="21">
        <v>1.4886171101180681</v>
      </c>
      <c r="J28" s="21">
        <v>6.4984490970198023E-5</v>
      </c>
      <c r="K28" s="21">
        <v>0.83199972772935016</v>
      </c>
      <c r="L28" s="21">
        <v>1.232240525603818</v>
      </c>
      <c r="M28" s="21">
        <v>0.19738918511473433</v>
      </c>
      <c r="N28" s="21">
        <v>0.22202153214104903</v>
      </c>
      <c r="O28" s="21">
        <v>8.9889762518969921E-3</v>
      </c>
      <c r="P28" s="21">
        <v>1.6416594083322567E-2</v>
      </c>
      <c r="Q28">
        <v>1.8008298948752302E-3</v>
      </c>
      <c r="R28" s="21">
        <v>0.15491672929294253</v>
      </c>
      <c r="S28" s="21">
        <v>4.9007322924409902E-2</v>
      </c>
      <c r="T28" s="3"/>
      <c r="U28" s="21"/>
      <c r="V28" s="21"/>
      <c r="W28" s="21"/>
      <c r="X28" s="21"/>
      <c r="Y28" s="21"/>
      <c r="Z28" s="21"/>
      <c r="AA28" s="21"/>
      <c r="AB28" s="21"/>
      <c r="AC28" s="21"/>
      <c r="AD28" s="21"/>
      <c r="AE28" s="21"/>
      <c r="AF28" s="21"/>
      <c r="AG28" s="21"/>
      <c r="AH28" s="21"/>
      <c r="AI28" s="21"/>
      <c r="AJ28" s="21"/>
      <c r="AK28" s="21"/>
      <c r="AM28" s="9"/>
      <c r="AN28"/>
      <c r="AO28"/>
      <c r="AQ28" s="189"/>
    </row>
    <row r="29" spans="1:43" x14ac:dyDescent="0.2">
      <c r="A29" s="75">
        <v>25</v>
      </c>
      <c r="B29" s="2" t="s">
        <v>581</v>
      </c>
      <c r="C29" s="21">
        <v>0.17214241811577288</v>
      </c>
      <c r="D29" s="21">
        <v>0.34794150208460511</v>
      </c>
      <c r="E29" s="21">
        <v>0.39183172865300037</v>
      </c>
      <c r="F29" s="21">
        <v>0.87261362304528167</v>
      </c>
      <c r="G29" s="21">
        <v>1.0515077585643609</v>
      </c>
      <c r="H29" s="21">
        <v>1.0557512051428668</v>
      </c>
      <c r="I29" s="21">
        <v>1.2273590976376252</v>
      </c>
      <c r="J29" s="21">
        <v>1.1948818249188147</v>
      </c>
      <c r="K29" s="21">
        <v>1.2185654364016336</v>
      </c>
      <c r="L29" s="21">
        <v>1.2233991828865687</v>
      </c>
      <c r="M29" s="21">
        <v>1.0531470178369677</v>
      </c>
      <c r="N29" s="21">
        <v>1.0522548076615881</v>
      </c>
      <c r="O29" s="21">
        <v>1.049587377939023</v>
      </c>
      <c r="P29" s="21">
        <v>1.052455173974034</v>
      </c>
      <c r="Q29">
        <v>1.0525611386411367</v>
      </c>
      <c r="R29" s="21">
        <v>1.0494857523454761</v>
      </c>
      <c r="S29" s="21">
        <v>1.0512390847116846</v>
      </c>
      <c r="T29" s="3"/>
      <c r="AQ29" s="189"/>
    </row>
    <row r="30" spans="1:43" x14ac:dyDescent="0.2">
      <c r="A30" s="75">
        <v>26</v>
      </c>
      <c r="B30" s="67" t="s">
        <v>556</v>
      </c>
      <c r="C30" s="190">
        <f>SUM(C28:C29)</f>
        <v>0.42956397425449644</v>
      </c>
      <c r="D30" s="190">
        <f t="shared" ref="D30:S30" si="2">SUM(D28:D29)</f>
        <v>0.7160650264394619</v>
      </c>
      <c r="E30" s="190">
        <f t="shared" si="2"/>
        <v>0.5943884971145299</v>
      </c>
      <c r="F30" s="190">
        <f t="shared" si="2"/>
        <v>1.0159810964880516</v>
      </c>
      <c r="G30" s="190">
        <f t="shared" si="2"/>
        <v>1.3742852406417096</v>
      </c>
      <c r="H30" s="190">
        <f t="shared" si="2"/>
        <v>1.8988441535264902</v>
      </c>
      <c r="I30" s="190">
        <f t="shared" si="2"/>
        <v>2.715976207755693</v>
      </c>
      <c r="J30" s="190">
        <f t="shared" si="2"/>
        <v>1.1949468094097848</v>
      </c>
      <c r="K30" s="190">
        <f t="shared" si="2"/>
        <v>2.0505651641309837</v>
      </c>
      <c r="L30" s="190">
        <f t="shared" si="2"/>
        <v>2.4556397084903869</v>
      </c>
      <c r="M30" s="190">
        <f t="shared" si="2"/>
        <v>1.250536202951702</v>
      </c>
      <c r="N30" s="190">
        <f t="shared" si="2"/>
        <v>1.2742763398026371</v>
      </c>
      <c r="O30" s="190">
        <f t="shared" si="2"/>
        <v>1.0585763541909201</v>
      </c>
      <c r="P30" s="190">
        <f t="shared" si="2"/>
        <v>1.0688717680573565</v>
      </c>
      <c r="Q30" s="190">
        <f t="shared" si="2"/>
        <v>1.0543619685360119</v>
      </c>
      <c r="R30" s="190">
        <f t="shared" si="2"/>
        <v>1.2044024816384187</v>
      </c>
      <c r="S30" s="190">
        <f t="shared" si="2"/>
        <v>1.1002464076360945</v>
      </c>
      <c r="T30" s="3"/>
      <c r="U30" s="21">
        <f>C30*30.4*cost!C29</f>
        <v>2.5558126334162314</v>
      </c>
      <c r="V30" s="191">
        <f>D30*30.4*cost!D29</f>
        <v>4.0910977445778096</v>
      </c>
      <c r="W30" s="191">
        <f>E30*30.4*cost!E29</f>
        <v>2.7920966792258284</v>
      </c>
      <c r="X30" s="191">
        <f>F30*30.4*cost!F29</f>
        <v>5.3417735817335874</v>
      </c>
      <c r="Y30" s="191">
        <f>G30*30.4*cost!G29</f>
        <v>7.185684511381079</v>
      </c>
      <c r="Z30" s="191">
        <f>H30*30.4*cost!H29</f>
        <v>14.076778193668046</v>
      </c>
      <c r="AA30" s="191">
        <f>I30*30.4*cost!I29</f>
        <v>17.02351960409581</v>
      </c>
      <c r="AB30" s="191">
        <f>J30*30.4*cost!J29</f>
        <v>0</v>
      </c>
      <c r="AC30" s="191">
        <f>K30*30.4*cost!K29</f>
        <v>16.517200145599485</v>
      </c>
      <c r="AD30" s="191">
        <f>L30*30.4*cost!L29</f>
        <v>12.732998496474556</v>
      </c>
      <c r="AE30" s="191">
        <f>M30*30.4*cost!M29</f>
        <v>18.43439523887978</v>
      </c>
      <c r="AF30" s="191">
        <f>N30*30.4*cost!N29</f>
        <v>7.5254584609714854</v>
      </c>
      <c r="AG30" s="191">
        <f>O30*30.4*cost!O29</f>
        <v>8.9424115199744403</v>
      </c>
      <c r="AH30" s="191">
        <f>P30*30.4*cost!P29</f>
        <v>0</v>
      </c>
      <c r="AI30" s="191">
        <f>Q30*30.4*cost!Q29</f>
        <v>7.070791234721443</v>
      </c>
      <c r="AJ30" s="191">
        <f>R30*30.4*cost!R29</f>
        <v>9.1503886011532085</v>
      </c>
      <c r="AK30" s="191">
        <f>S30*30.4*cost!S29</f>
        <v>5.5222898829492424</v>
      </c>
      <c r="AM30" s="9">
        <f>HLOOKUP(TFP!$C$14,'current consumption'!$C$5:$S$63,'current consumption'!$A28,FALSE)</f>
        <v>0.26531309616932391</v>
      </c>
      <c r="AN30" s="113">
        <f>$AM30*HLOOKUP(TFP!$C$14,cost!$C$6:$S$64,cost!$A29,FALSE)</f>
        <v>5.8527959975133229E-2</v>
      </c>
      <c r="AO30">
        <f t="shared" ref="AO30:AO65" si="3">$AN30*30.4</f>
        <v>1.77924998324405</v>
      </c>
      <c r="AQ30" s="20">
        <f t="shared" ref="AQ30:AQ65" si="4">AO30*$AR$3</f>
        <v>1.3064772979078247</v>
      </c>
    </row>
    <row r="31" spans="1:43" x14ac:dyDescent="0.2">
      <c r="A31" s="75">
        <v>27</v>
      </c>
      <c r="B31" s="2" t="s">
        <v>15</v>
      </c>
      <c r="C31" s="21">
        <v>8.416374475979474E-2</v>
      </c>
      <c r="D31" s="21">
        <v>0.14667958356061983</v>
      </c>
      <c r="E31" s="21">
        <v>0.12518000320852202</v>
      </c>
      <c r="F31" s="21">
        <v>0.20489677794555436</v>
      </c>
      <c r="G31" s="21">
        <v>0.29878717968530988</v>
      </c>
      <c r="H31" s="21">
        <v>0.29565283358861005</v>
      </c>
      <c r="I31" s="21">
        <v>0.26459348912089098</v>
      </c>
      <c r="J31" s="21">
        <v>0.87855097703777763</v>
      </c>
      <c r="K31" s="21">
        <v>0.1625223134178502</v>
      </c>
      <c r="L31" s="21">
        <v>0.22353051748494121</v>
      </c>
      <c r="M31" s="21">
        <v>0.22411343407888298</v>
      </c>
      <c r="N31" s="21">
        <v>0.19707797994070519</v>
      </c>
      <c r="O31" s="21">
        <v>0.27022751537386708</v>
      </c>
      <c r="P31" s="21">
        <v>0.27021646783853309</v>
      </c>
      <c r="Q31">
        <v>0.30155583157410792</v>
      </c>
      <c r="R31" s="21">
        <v>0.29010770332342362</v>
      </c>
      <c r="S31" s="21">
        <v>0.27675551839710349</v>
      </c>
      <c r="T31" s="3"/>
      <c r="U31" s="21">
        <f>C31*30.4*cost!C30</f>
        <v>1.249782681832921</v>
      </c>
      <c r="V31" s="21">
        <f>D31*30.4*cost!D30</f>
        <v>2.4121644265850577</v>
      </c>
      <c r="W31" s="21">
        <f>E31*30.4*cost!E30</f>
        <v>2.1732580004999025</v>
      </c>
      <c r="X31" s="21">
        <f>F31*30.4*cost!F30</f>
        <v>3.9644147070591287</v>
      </c>
      <c r="Y31" s="21">
        <f>G31*30.4*cost!G30</f>
        <v>4.9904090196017972</v>
      </c>
      <c r="Z31" s="21">
        <f>H31*30.4*cost!H30</f>
        <v>5.5663639602221284</v>
      </c>
      <c r="AA31" s="21">
        <f>I31*30.4*cost!I30</f>
        <v>4.54222806942819</v>
      </c>
      <c r="AB31" s="21">
        <f>J31*30.4*cost!J30</f>
        <v>0</v>
      </c>
      <c r="AC31" s="21">
        <f>K31*30.4*cost!K30</f>
        <v>4.8465520221857759</v>
      </c>
      <c r="AD31" s="21">
        <f>L31*30.4*cost!L30</f>
        <v>4.5477868174499863</v>
      </c>
      <c r="AE31" s="21">
        <f>M31*30.4*cost!M30</f>
        <v>5.2280470702550401</v>
      </c>
      <c r="AF31" s="21">
        <f>N31*30.4*cost!N30</f>
        <v>3.5847302467804387</v>
      </c>
      <c r="AG31" s="21">
        <f>O31*30.4*cost!O30</f>
        <v>5.7332260941482094</v>
      </c>
      <c r="AH31" s="21">
        <f>P31*30.4*cost!P30</f>
        <v>0</v>
      </c>
      <c r="AI31" s="21">
        <f>Q31*30.4*cost!Q30</f>
        <v>8.3570376185964417</v>
      </c>
      <c r="AJ31" s="21">
        <f>R31*30.4*cost!R30</f>
        <v>5.315542952321584</v>
      </c>
      <c r="AK31" s="21">
        <f>S31*30.4*cost!S30</f>
        <v>5.0709888953650157</v>
      </c>
      <c r="AM31" s="9">
        <f>HLOOKUP(TFP!$C$14,'current consumption'!$C$5:$S$63,'current consumption'!$A29,FALSE)</f>
        <v>4.7865909279944593E-2</v>
      </c>
      <c r="AN31" s="113">
        <f>$AM31*HLOOKUP(TFP!$C$14,cost!$C$6:$S$64,cost!$A30,FALSE)</f>
        <v>4.3635238641158265E-2</v>
      </c>
      <c r="AO31">
        <f t="shared" si="3"/>
        <v>1.3265112546912112</v>
      </c>
      <c r="AQ31" s="20">
        <f t="shared" si="4"/>
        <v>0.97403785639692086</v>
      </c>
    </row>
    <row r="32" spans="1:43" x14ac:dyDescent="0.2">
      <c r="A32" s="75">
        <v>28</v>
      </c>
      <c r="B32" s="3" t="s">
        <v>406</v>
      </c>
      <c r="C32" s="21">
        <v>0.67796654407971879</v>
      </c>
      <c r="D32" s="21">
        <v>0.29023089380687078</v>
      </c>
      <c r="E32" s="21">
        <v>0.60535080111797879</v>
      </c>
      <c r="F32" s="21">
        <v>0.25705794523654246</v>
      </c>
      <c r="G32" s="21">
        <v>0.7706123802412076</v>
      </c>
      <c r="H32" s="21">
        <v>0.53551037403986157</v>
      </c>
      <c r="I32" s="21">
        <v>1.9736713272933464</v>
      </c>
      <c r="J32" s="21">
        <v>1.1958064204224015</v>
      </c>
      <c r="K32" s="21">
        <v>1.2776995344607689</v>
      </c>
      <c r="L32" s="21">
        <v>0.45758570531670828</v>
      </c>
      <c r="M32" s="21">
        <v>0.49828231311055909</v>
      </c>
      <c r="N32" s="21">
        <v>0.29943108807006014</v>
      </c>
      <c r="O32" s="21">
        <v>1.1196820174583759</v>
      </c>
      <c r="P32" s="21">
        <v>1.377771446767444</v>
      </c>
      <c r="Q32">
        <v>0.2960767377523546</v>
      </c>
      <c r="R32" s="21">
        <v>0.2844287862588662</v>
      </c>
      <c r="S32" s="21">
        <v>0.28562224237946088</v>
      </c>
      <c r="T32" s="3"/>
      <c r="U32" s="21">
        <f>C32*30.4*cost!C31</f>
        <v>6.0073926842192416</v>
      </c>
      <c r="V32" s="21">
        <f>D32*30.4*cost!D31</f>
        <v>2.6952382223541695</v>
      </c>
      <c r="W32" s="21">
        <f>E32*30.4*cost!E31</f>
        <v>5.6860887414274277</v>
      </c>
      <c r="X32" s="21">
        <f>F32*30.4*cost!F31</f>
        <v>2.6009464959353839</v>
      </c>
      <c r="Y32" s="21">
        <f>G32*30.4*cost!G31</f>
        <v>7.1171801650801303</v>
      </c>
      <c r="Z32" s="21">
        <f>H32*30.4*cost!H31</f>
        <v>4.9369914587979258</v>
      </c>
      <c r="AA32" s="21">
        <f>I32*30.4*cost!I31</f>
        <v>18.273649112959745</v>
      </c>
      <c r="AB32" s="21">
        <f>J32*30.4*cost!J31</f>
        <v>0</v>
      </c>
      <c r="AC32" s="21">
        <f>K32*30.4*cost!K31</f>
        <v>12.741413518742727</v>
      </c>
      <c r="AD32" s="21">
        <f>L32*30.4*cost!L31</f>
        <v>4.3874465814206776</v>
      </c>
      <c r="AE32" s="21">
        <f>M32*30.4*cost!M31</f>
        <v>5.7236010105918282</v>
      </c>
      <c r="AF32" s="21">
        <f>N32*30.4*cost!N31</f>
        <v>3.0132315691786751</v>
      </c>
      <c r="AG32" s="21">
        <f>O32*30.4*cost!O31</f>
        <v>10.267704965823892</v>
      </c>
      <c r="AH32" s="21">
        <f>P32*30.4*cost!P31</f>
        <v>0</v>
      </c>
      <c r="AI32" s="21">
        <f>Q32*30.4*cost!Q31</f>
        <v>1.9150785136971487</v>
      </c>
      <c r="AJ32" s="21">
        <f>R32*30.4*cost!R31</f>
        <v>3.7202196841144954</v>
      </c>
      <c r="AK32" s="21">
        <f>S32*30.4*cost!S31</f>
        <v>2.748194603529992</v>
      </c>
      <c r="AM32" s="112">
        <f>HLOOKUP(TFP!$C$14,'current consumption'!$C$5:$S$63,'current consumption'!$A30,FALSE)</f>
        <v>6.5777283131083272E-3</v>
      </c>
      <c r="AN32" s="113">
        <f>$AM32*HLOOKUP(TFP!$C$14,cost!$C$6:$S$64,cost!$A31,FALSE)</f>
        <v>1.3995378379240105E-3</v>
      </c>
      <c r="AO32">
        <f t="shared" si="3"/>
        <v>4.2545950272889918E-2</v>
      </c>
      <c r="AQ32" s="20">
        <f t="shared" si="4"/>
        <v>3.1240870407709068E-2</v>
      </c>
    </row>
    <row r="33" spans="1:43" x14ac:dyDescent="0.2">
      <c r="A33" s="75">
        <v>29</v>
      </c>
      <c r="B33" s="3" t="s">
        <v>407</v>
      </c>
      <c r="C33" s="21">
        <v>6.9484752117853063E-3</v>
      </c>
      <c r="D33" s="21">
        <v>9.7691061931176777E-3</v>
      </c>
      <c r="E33" s="21">
        <v>3.7394701528903462E-3</v>
      </c>
      <c r="F33" s="21">
        <v>4.2942054763459386E-2</v>
      </c>
      <c r="G33" s="21">
        <v>6.5274154897995169E-3</v>
      </c>
      <c r="H33" s="21">
        <v>4.2583342763078524E-3</v>
      </c>
      <c r="I33" s="21">
        <v>8.4729219941410971E-5</v>
      </c>
      <c r="J33" s="21">
        <v>0.37354334730677696</v>
      </c>
      <c r="K33" s="21">
        <v>5.5737744211849845E-4</v>
      </c>
      <c r="L33" s="21">
        <v>0.20934572270257354</v>
      </c>
      <c r="M33" s="21">
        <v>8.7597090136251089E-3</v>
      </c>
      <c r="N33" s="21">
        <v>5.6891192993985945E-4</v>
      </c>
      <c r="O33" s="21">
        <v>2.5487840249938838E-2</v>
      </c>
      <c r="P33" s="21">
        <v>9.9085845267917871E-3</v>
      </c>
      <c r="Q33">
        <v>3.9232622476482086E-3</v>
      </c>
      <c r="R33" s="21">
        <v>1.5571213741129301E-2</v>
      </c>
      <c r="S33" s="21">
        <v>1.4377757620526746E-2</v>
      </c>
      <c r="T33" s="3"/>
      <c r="U33" s="21">
        <f>C33*30.4*cost!C32</f>
        <v>6.0196782821582542E-2</v>
      </c>
      <c r="V33" s="21">
        <f>D33*30.4*cost!D32</f>
        <v>0.10894957900066753</v>
      </c>
      <c r="W33" s="21">
        <f>E33*30.4*cost!E32</f>
        <v>3.324617099004451E-2</v>
      </c>
      <c r="X33" s="21">
        <f>F33*30.4*cost!F32</f>
        <v>0.41978837812567793</v>
      </c>
      <c r="Y33" s="21">
        <f>G33*30.4*cost!G32</f>
        <v>6.9038736784949858E-2</v>
      </c>
      <c r="Z33" s="21">
        <f>H33*30.4*cost!H32</f>
        <v>3.3694277627663471E-2</v>
      </c>
      <c r="AA33" s="21">
        <f>I33*30.4*cost!I32</f>
        <v>7.4843043851557955E-4</v>
      </c>
      <c r="AB33" s="21">
        <f>J33*30.4*cost!J32</f>
        <v>0</v>
      </c>
      <c r="AC33" s="21">
        <f>K33*30.4*cost!K32</f>
        <v>5.129142171337856E-3</v>
      </c>
      <c r="AD33" s="21">
        <f>L33*30.4*cost!L32</f>
        <v>2.0365829142973069</v>
      </c>
      <c r="AE33" s="21">
        <f>M33*30.4*cost!M32</f>
        <v>9.1245622352967182E-2</v>
      </c>
      <c r="AF33" s="21">
        <f>N33*30.4*cost!N32</f>
        <v>5.0793076683031992E-3</v>
      </c>
      <c r="AG33" s="21">
        <f>O33*30.4*cost!O32</f>
        <v>0.24110391441860118</v>
      </c>
      <c r="AH33" s="21">
        <f>P33*30.4*cost!P32</f>
        <v>0</v>
      </c>
      <c r="AI33" s="21">
        <f>Q33*30.4*cost!Q32</f>
        <v>3.4640654928415809E-2</v>
      </c>
      <c r="AJ33" s="21">
        <f>R33*30.4*cost!R32</f>
        <v>0.16489976972170076</v>
      </c>
      <c r="AK33" s="21">
        <f>S33*30.4*cost!S32</f>
        <v>0.14582181984751177</v>
      </c>
      <c r="AM33" s="112">
        <f>HLOOKUP(TFP!$C$14,'current consumption'!$C$5:$S$63,'current consumption'!$A31,FALSE)</f>
        <v>0.75386696013006482</v>
      </c>
      <c r="AN33" s="113">
        <f>$AM33*HLOOKUP(TFP!$C$14,cost!$C$6:$S$64,cost!$A32,FALSE)</f>
        <v>0.21895752802682886</v>
      </c>
      <c r="AO33">
        <f t="shared" si="3"/>
        <v>6.6563088520155969</v>
      </c>
      <c r="AQ33" s="20">
        <f t="shared" si="4"/>
        <v>4.8876304537969162</v>
      </c>
    </row>
    <row r="34" spans="1:43" x14ac:dyDescent="0.2">
      <c r="A34" s="75">
        <v>30</v>
      </c>
      <c r="B34" s="3" t="s">
        <v>619</v>
      </c>
      <c r="C34" s="21">
        <v>3.8834114667618091E-3</v>
      </c>
      <c r="D34" s="21">
        <v>1.5053246333241656E-3</v>
      </c>
      <c r="E34" s="21">
        <v>1.0065099804815573E-3</v>
      </c>
      <c r="F34" s="21">
        <v>6.932939388496288E-3</v>
      </c>
      <c r="G34" s="21">
        <v>1.0316631179360135E-3</v>
      </c>
      <c r="H34" s="21">
        <v>6.5307031391070836E-4</v>
      </c>
      <c r="I34" s="21">
        <v>1.8718576540787042E-5</v>
      </c>
      <c r="J34" s="21">
        <v>0.14994900873857914</v>
      </c>
      <c r="K34" s="21">
        <v>7.5216321012081872E-5</v>
      </c>
      <c r="L34" s="21">
        <v>1.3940011214288527E-2</v>
      </c>
      <c r="M34" s="21">
        <v>1.2844170454498287E-3</v>
      </c>
      <c r="N34" s="21">
        <v>1.3263696440750825E-4</v>
      </c>
      <c r="O34" s="21">
        <v>3.0573184440495409E-3</v>
      </c>
      <c r="P34" s="21">
        <v>6.5175628684521515E-3</v>
      </c>
      <c r="Q34">
        <v>5.1778886942550624E-4</v>
      </c>
      <c r="R34" s="21">
        <v>1.4528933451863272E-3</v>
      </c>
      <c r="S34" s="21">
        <v>1.6240549375257567E-3</v>
      </c>
      <c r="T34" s="3"/>
      <c r="U34" s="21">
        <f>C34*30.4*cost!C33</f>
        <v>5.5956726611483862E-2</v>
      </c>
      <c r="V34" s="21">
        <f>D34*30.4*cost!D33</f>
        <v>2.7834369026645114E-2</v>
      </c>
      <c r="W34" s="21">
        <f>E34*30.4*cost!E33</f>
        <v>1.5614956787229151E-2</v>
      </c>
      <c r="X34" s="21">
        <f>F34*30.4*cost!F33</f>
        <v>0.13465033639148427</v>
      </c>
      <c r="Y34" s="21">
        <f>G34*30.4*cost!G33</f>
        <v>1.8523005009456955E-2</v>
      </c>
      <c r="Z34" s="21">
        <f>H34*30.4*cost!H33</f>
        <v>1.383716338988197E-2</v>
      </c>
      <c r="AA34" s="21">
        <f>I34*30.4*cost!I33</f>
        <v>3.9750795692565207E-4</v>
      </c>
      <c r="AB34" s="21">
        <f>J34*30.4*cost!J33</f>
        <v>0</v>
      </c>
      <c r="AC34" s="21">
        <f>K34*30.4*cost!K33</f>
        <v>9.7581413458509587E-4</v>
      </c>
      <c r="AD34" s="21">
        <f>L34*30.4*cost!L33</f>
        <v>0.15583759451588133</v>
      </c>
      <c r="AE34" s="21">
        <f>M34*30.4*cost!M33</f>
        <v>8.921539736522939E-3</v>
      </c>
      <c r="AF34" s="21">
        <f>N34*30.4*cost!N33</f>
        <v>2.9114292903122305E-3</v>
      </c>
      <c r="AG34" s="21">
        <f>O34*30.4*cost!O33</f>
        <v>5.0952215077200762E-2</v>
      </c>
      <c r="AH34" s="21">
        <f>P34*30.4*cost!P33</f>
        <v>0</v>
      </c>
      <c r="AI34" s="21">
        <f>Q34*30.4*cost!Q33</f>
        <v>8.0926257251071852E-3</v>
      </c>
      <c r="AJ34" s="21">
        <f>R34*30.4*cost!R33</f>
        <v>1.289497258026075E-2</v>
      </c>
      <c r="AK34" s="21">
        <f>S34*30.4*cost!S33</f>
        <v>1.4419886156198578E-2</v>
      </c>
      <c r="AM34" s="112">
        <f>HLOOKUP(TFP!$C$14,'current consumption'!$C$5:$S$63,'current consumption'!$A32,FALSE)</f>
        <v>9.7443346645866735E-2</v>
      </c>
      <c r="AN34" s="113">
        <f>$AM34*HLOOKUP(TFP!$C$14,cost!$C$6:$S$64,cost!$A33,FALSE)</f>
        <v>5.0097419068258583E-2</v>
      </c>
      <c r="AO34">
        <f t="shared" si="3"/>
        <v>1.5229615396750609</v>
      </c>
      <c r="AQ34" s="20">
        <f t="shared" si="4"/>
        <v>1.118288433840213</v>
      </c>
    </row>
    <row r="35" spans="1:43" x14ac:dyDescent="0.2">
      <c r="A35" s="75">
        <v>31</v>
      </c>
      <c r="B35" s="3" t="s">
        <v>62</v>
      </c>
      <c r="C35" s="21">
        <v>0.14318218868628171</v>
      </c>
      <c r="D35" s="21">
        <v>0.147807020847011</v>
      </c>
      <c r="E35" s="21">
        <v>0.1482892081365888</v>
      </c>
      <c r="F35" s="21">
        <v>0.13884546683447416</v>
      </c>
      <c r="G35" s="21">
        <v>0.14837769269621245</v>
      </c>
      <c r="H35" s="21">
        <v>0.14920884049534375</v>
      </c>
      <c r="I35" s="21">
        <v>5.6021716980096104E-6</v>
      </c>
      <c r="J35" s="21">
        <v>5.1846398183474806E-6</v>
      </c>
      <c r="K35" s="21">
        <v>0.1498907884755841</v>
      </c>
      <c r="L35" s="21">
        <v>2.1536805374041332E-2</v>
      </c>
      <c r="M35" s="21">
        <v>0.14635593358155322</v>
      </c>
      <c r="N35" s="21">
        <v>0.14979275240185438</v>
      </c>
      <c r="O35" s="21">
        <v>0.13748362775312792</v>
      </c>
      <c r="P35" s="21">
        <v>2.5356319420003766E-3</v>
      </c>
      <c r="Q35">
        <v>2.0250753750591824E-4</v>
      </c>
      <c r="R35" s="21">
        <v>0.1352232096927044</v>
      </c>
      <c r="S35" s="21">
        <v>0.14703070399776777</v>
      </c>
      <c r="T35" s="3"/>
      <c r="U35" s="21">
        <f>C35*30.4*cost!C34</f>
        <v>2.9591927741921222</v>
      </c>
      <c r="V35" s="21">
        <f>D35*30.4*cost!D34</f>
        <v>2.8838816195837276</v>
      </c>
      <c r="W35" s="21">
        <f>E35*30.4*cost!E34</f>
        <v>2.2254204128606268</v>
      </c>
      <c r="X35" s="21">
        <f>F35*30.4*cost!F34</f>
        <v>2.1532039656254609</v>
      </c>
      <c r="Y35" s="21">
        <f>G35*30.4*cost!G34</f>
        <v>1.152046022337075</v>
      </c>
      <c r="Z35" s="21">
        <f>H35*30.4*cost!H34</f>
        <v>0.64380173461030266</v>
      </c>
      <c r="AA35" s="21">
        <f>I35*30.4*cost!I34</f>
        <v>1.5411896159213016E-4</v>
      </c>
      <c r="AB35" s="21">
        <f>J35*30.4*cost!J34</f>
        <v>0</v>
      </c>
      <c r="AC35" s="21">
        <f>K35*30.4*cost!K34</f>
        <v>1.2708755159390084</v>
      </c>
      <c r="AD35" s="21">
        <f>L35*30.4*cost!L34</f>
        <v>0.27302501299308712</v>
      </c>
      <c r="AE35" s="21">
        <f>M35*30.4*cost!M34</f>
        <v>1.3573515194403525</v>
      </c>
      <c r="AF35" s="21">
        <f>N35*30.4*cost!N34</f>
        <v>2.8373670887571834</v>
      </c>
      <c r="AG35" s="21">
        <f>O35*30.4*cost!O34</f>
        <v>2.2385844563188515</v>
      </c>
      <c r="AH35" s="21">
        <f>P35*30.4*cost!P34</f>
        <v>0</v>
      </c>
      <c r="AI35" s="21">
        <f>Q35*30.4*cost!Q34</f>
        <v>5.5013934370800599E-3</v>
      </c>
      <c r="AJ35" s="21">
        <f>R35*30.4*cost!R34</f>
        <v>1.2008463728996028</v>
      </c>
      <c r="AK35" s="21">
        <f>S35*30.4*cost!S34</f>
        <v>0.98010930305099953</v>
      </c>
      <c r="AM35" s="112">
        <f>HLOOKUP(TFP!$C$14,'current consumption'!$C$5:$S$63,'current consumption'!$A33,FALSE)</f>
        <v>1.776176505165444E-2</v>
      </c>
      <c r="AN35" s="113">
        <f>$AM35*HLOOKUP(TFP!$C$14,cost!$C$6:$S$64,cost!$A34,FALSE)</f>
        <v>1.5872453000226376E-2</v>
      </c>
      <c r="AO35">
        <f t="shared" si="3"/>
        <v>0.4825225712068818</v>
      </c>
      <c r="AQ35" s="20">
        <f t="shared" si="4"/>
        <v>0.35430928253291638</v>
      </c>
    </row>
    <row r="36" spans="1:43" x14ac:dyDescent="0.2">
      <c r="A36" s="75">
        <v>32</v>
      </c>
      <c r="B36" s="3" t="s">
        <v>181</v>
      </c>
      <c r="C36" s="21">
        <v>2.934399846962072E-3</v>
      </c>
      <c r="D36" s="21">
        <v>6.8765451967446058E-4</v>
      </c>
      <c r="E36" s="21">
        <v>7.0428188294414397E-4</v>
      </c>
      <c r="F36" s="21">
        <v>4.2215937770033784E-3</v>
      </c>
      <c r="G36" s="21">
        <v>5.9064418585088273E-4</v>
      </c>
      <c r="H36" s="21">
        <v>1.3808919074277803E-4</v>
      </c>
      <c r="I36" s="21">
        <v>0.14997567925176139</v>
      </c>
      <c r="J36" s="21">
        <v>4.5806621602732965E-5</v>
      </c>
      <c r="K36" s="21">
        <v>3.3995203403678506E-5</v>
      </c>
      <c r="L36" s="21">
        <v>0.11452318341166763</v>
      </c>
      <c r="M36" s="21">
        <v>2.3596493729969806E-3</v>
      </c>
      <c r="N36" s="21">
        <v>7.4610633738085154E-5</v>
      </c>
      <c r="O36" s="21">
        <v>9.4590538028225257E-3</v>
      </c>
      <c r="P36" s="21">
        <v>0.15985358171238132</v>
      </c>
      <c r="Q36">
        <v>0.56081400741948761</v>
      </c>
      <c r="R36" s="21">
        <v>1.3323896962109179E-2</v>
      </c>
      <c r="S36" s="21">
        <v>1.3452410647032977E-3</v>
      </c>
      <c r="T36" s="3"/>
      <c r="U36" s="21">
        <f>C36*30.4*cost!C35</f>
        <v>2.1004594626386437E-2</v>
      </c>
      <c r="V36" s="21">
        <f>D36*30.4*cost!D35</f>
        <v>1.2206226278755726E-2</v>
      </c>
      <c r="W36" s="21">
        <f>E36*30.4*cost!E35</f>
        <v>1.246753557626492E-2</v>
      </c>
      <c r="X36" s="21">
        <f>F36*30.4*cost!F35</f>
        <v>4.0941148302956233E-2</v>
      </c>
      <c r="Y36" s="21">
        <f>G36*30.4*cost!G35</f>
        <v>1.0648168772044901E-2</v>
      </c>
      <c r="Z36" s="21">
        <f>H36*30.4*cost!H35</f>
        <v>3.2857073186518095E-3</v>
      </c>
      <c r="AA36" s="21">
        <f>I36*30.4*cost!I35</f>
        <v>3.2598876994386323</v>
      </c>
      <c r="AB36" s="21">
        <f>J36*30.4*cost!J35</f>
        <v>0</v>
      </c>
      <c r="AC36" s="21">
        <f>K36*30.4*cost!K35</f>
        <v>6.0577093341100858E-4</v>
      </c>
      <c r="AD36" s="21">
        <f>L36*30.4*cost!L35</f>
        <v>1.7008725649816259</v>
      </c>
      <c r="AE36" s="21">
        <f>M36*30.4*cost!M35</f>
        <v>3.7155529798902721E-2</v>
      </c>
      <c r="AF36" s="21">
        <f>N36*30.4*cost!N35</f>
        <v>1.5332774870346899E-3</v>
      </c>
      <c r="AG36" s="21">
        <f>O36*30.4*cost!O35</f>
        <v>9.478393837176656E-2</v>
      </c>
      <c r="AH36" s="21">
        <f>P36*30.4*cost!P35</f>
        <v>0</v>
      </c>
      <c r="AI36" s="21">
        <f>Q36*30.4*cost!Q35</f>
        <v>5.7357500945817028</v>
      </c>
      <c r="AJ36" s="21">
        <f>R36*30.4*cost!R35</f>
        <v>0.15879421600960428</v>
      </c>
      <c r="AK36" s="21">
        <f>S36*30.4*cost!S35</f>
        <v>2.0524340536419307E-2</v>
      </c>
      <c r="AM36" s="112">
        <f>HLOOKUP(TFP!$C$14,'current consumption'!$C$5:$S$63,'current consumption'!$A34,FALSE)</f>
        <v>0.14403778775370327</v>
      </c>
      <c r="AN36" s="113">
        <f>$AM36*HLOOKUP(TFP!$C$14,cost!$C$6:$S$64,cost!$A35,FALSE)</f>
        <v>4.8458975409991653E-2</v>
      </c>
      <c r="AO36">
        <f t="shared" si="3"/>
        <v>1.4731528524637463</v>
      </c>
      <c r="AQ36" s="20">
        <f t="shared" si="4"/>
        <v>1.0817146416845278</v>
      </c>
    </row>
    <row r="37" spans="1:43" x14ac:dyDescent="0.2">
      <c r="A37" s="75">
        <v>33</v>
      </c>
      <c r="B37" s="3" t="s">
        <v>566</v>
      </c>
      <c r="C37" s="21">
        <v>7.8987720017102385E-5</v>
      </c>
      <c r="D37" s="21">
        <v>0.16494967993108142</v>
      </c>
      <c r="E37" s="21">
        <v>0.93672464934065691</v>
      </c>
      <c r="F37" s="21">
        <v>1.0137219730653861</v>
      </c>
      <c r="G37" s="21">
        <v>1.0137219730653861</v>
      </c>
      <c r="H37" s="21">
        <v>0.92021587267559479</v>
      </c>
      <c r="I37" s="21">
        <v>0.92021587267559479</v>
      </c>
      <c r="J37" s="21">
        <v>3.0484263058923116</v>
      </c>
      <c r="K37" s="21">
        <v>1.8391423339488213</v>
      </c>
      <c r="L37" s="21">
        <v>3.0484263058923116</v>
      </c>
      <c r="M37" s="21">
        <v>2.1808587030648887</v>
      </c>
      <c r="N37" s="21">
        <v>2.6192886075976913</v>
      </c>
      <c r="O37" s="21">
        <v>0.69111564260675884</v>
      </c>
      <c r="P37" s="21">
        <v>5.8207872264880375E-2</v>
      </c>
      <c r="Q37">
        <v>2.1837925671543577</v>
      </c>
      <c r="R37" s="21">
        <v>2.6661825787335616</v>
      </c>
      <c r="S37" s="21">
        <v>2.1743298685815082</v>
      </c>
      <c r="T37" s="3"/>
      <c r="U37" s="21">
        <f>C37*30.4*cost!C36</f>
        <v>2.5010708870589756E-4</v>
      </c>
      <c r="V37" s="21">
        <f>D37*30.4*cost!D36</f>
        <v>0.56208345575468355</v>
      </c>
      <c r="W37" s="21">
        <f>E37*30.4*cost!E36</f>
        <v>3.1441780033702322</v>
      </c>
      <c r="X37" s="21">
        <f>F37*30.4*cost!F36</f>
        <v>3.4731341923286911</v>
      </c>
      <c r="Y37" s="21">
        <f>G37*30.4*cost!G36</f>
        <v>3.3073069040783891</v>
      </c>
      <c r="Z37" s="21">
        <f>H37*30.4*cost!H36</f>
        <v>3.2011688718634796</v>
      </c>
      <c r="AA37" s="21">
        <f>I37*30.4*cost!I36</f>
        <v>3.2148783745267067</v>
      </c>
      <c r="AB37" s="21">
        <f>J37*30.4*cost!J36</f>
        <v>0</v>
      </c>
      <c r="AC37" s="21">
        <f>K37*30.4*cost!K36</f>
        <v>6.3084679712278797</v>
      </c>
      <c r="AD37" s="21">
        <f>L37*30.4*cost!L36</f>
        <v>10.555797559874758</v>
      </c>
      <c r="AE37" s="21">
        <f>M37*30.4*cost!M36</f>
        <v>7.6090223055441104</v>
      </c>
      <c r="AF37" s="21">
        <f>N37*30.4*cost!N36</f>
        <v>19.175587572678225</v>
      </c>
      <c r="AG37" s="21">
        <f>O37*30.4*cost!O36</f>
        <v>4.9690173842893923</v>
      </c>
      <c r="AH37" s="21">
        <f>P37*30.4*cost!P36</f>
        <v>0</v>
      </c>
      <c r="AI37" s="21">
        <f>Q37*30.4*cost!Q36</f>
        <v>7.3271198041899268</v>
      </c>
      <c r="AJ37" s="21">
        <f>R37*30.4*cost!R36</f>
        <v>9.1490225610063547</v>
      </c>
      <c r="AK37" s="21">
        <f>S37*30.4*cost!S36</f>
        <v>7.1496086579539897</v>
      </c>
      <c r="AM37" s="112">
        <f>HLOOKUP(TFP!$C$14,'current consumption'!$C$5:$S$63,'current consumption'!$A35,FALSE)</f>
        <v>5.6200992635078884E-2</v>
      </c>
      <c r="AN37" s="113">
        <f>$AM37*HLOOKUP(TFP!$C$14,cost!$C$6:$S$64,cost!$A36,FALSE)</f>
        <v>6.2028647514123193E-3</v>
      </c>
      <c r="AO37">
        <f t="shared" si="3"/>
        <v>0.18856708844293449</v>
      </c>
      <c r="AQ37" s="20">
        <f t="shared" si="4"/>
        <v>0.13846206126364155</v>
      </c>
    </row>
    <row r="38" spans="1:43" x14ac:dyDescent="0.2">
      <c r="A38" s="75">
        <v>34</v>
      </c>
      <c r="B38" s="3" t="s">
        <v>567</v>
      </c>
      <c r="C38" s="21">
        <v>3.0714126738943344E-3</v>
      </c>
      <c r="D38" s="21">
        <v>4.3394922753324594E-3</v>
      </c>
      <c r="E38" s="21">
        <v>1.1805764778904797</v>
      </c>
      <c r="F38" s="21">
        <v>0.45293709276622879</v>
      </c>
      <c r="G38" s="21">
        <v>1.0536019918186309E-2</v>
      </c>
      <c r="H38" s="21">
        <v>0.73375514044818668</v>
      </c>
      <c r="I38" s="21">
        <v>1.8040930069020937</v>
      </c>
      <c r="J38" s="21">
        <v>0.59443148148385383</v>
      </c>
      <c r="K38" s="21">
        <v>2.8008270284793655</v>
      </c>
      <c r="L38" s="21">
        <v>1.4311572463922067</v>
      </c>
      <c r="M38" s="21">
        <v>0.69204345327360106</v>
      </c>
      <c r="N38" s="21">
        <v>0.46491278711539247</v>
      </c>
      <c r="O38" s="21">
        <v>1.3625641725860604</v>
      </c>
      <c r="P38" s="21">
        <v>1.5892149569769334</v>
      </c>
      <c r="Q38">
        <v>0.78300719969606025</v>
      </c>
      <c r="R38" s="21">
        <v>1.3585012744192448</v>
      </c>
      <c r="S38" s="21">
        <v>0.16598261026752562</v>
      </c>
      <c r="T38" s="3"/>
      <c r="U38" s="21">
        <f>C38*30.4*cost!C37</f>
        <v>6.3366713826455917E-3</v>
      </c>
      <c r="V38" s="21">
        <f>D38*30.4*cost!D37</f>
        <v>1.7711422085884526E-2</v>
      </c>
      <c r="W38" s="21">
        <f>E38*30.4*cost!E37</f>
        <v>2.7150285593588839</v>
      </c>
      <c r="X38" s="21">
        <f>F38*30.4*cost!F37</f>
        <v>0.87207609644996376</v>
      </c>
      <c r="Y38" s="21">
        <f>G38*30.4*cost!G37</f>
        <v>2.1897989228121601E-2</v>
      </c>
      <c r="Z38" s="21">
        <f>H38*30.4*cost!H37</f>
        <v>1.3401162807872253</v>
      </c>
      <c r="AA38" s="21">
        <f>I38*30.4*cost!I37</f>
        <v>3.5292614213331883</v>
      </c>
      <c r="AB38" s="21">
        <f>J38*30.4*cost!J37</f>
        <v>0</v>
      </c>
      <c r="AC38" s="21">
        <f>K38*30.4*cost!K37</f>
        <v>6.7259154408272375</v>
      </c>
      <c r="AD38" s="21">
        <f>L38*30.4*cost!L37</f>
        <v>3.2325283826271307</v>
      </c>
      <c r="AE38" s="21">
        <f>M38*30.4*cost!M37</f>
        <v>1.7207678425184463</v>
      </c>
      <c r="AF38" s="21">
        <f>N38*30.4*cost!N37</f>
        <v>1.012046276439466</v>
      </c>
      <c r="AG38" s="21">
        <f>O38*30.4*cost!O37</f>
        <v>8.6648518791143516</v>
      </c>
      <c r="AH38" s="21">
        <f>P38*30.4*cost!P37</f>
        <v>0</v>
      </c>
      <c r="AI38" s="21">
        <f>Q38*30.4*cost!Q37</f>
        <v>3.3234154217812222</v>
      </c>
      <c r="AJ38" s="21">
        <f>R38*30.4*cost!R37</f>
        <v>3.2360527843588334</v>
      </c>
      <c r="AK38" s="21">
        <f>S38*30.4*cost!S37</f>
        <v>0.29561334156315916</v>
      </c>
      <c r="AM38" s="112">
        <f>HLOOKUP(TFP!$C$14,'current consumption'!$C$5:$S$63,'current consumption'!$A36,FALSE)</f>
        <v>0.33899367426506039</v>
      </c>
      <c r="AN38" s="113">
        <f>$AM38*HLOOKUP(TFP!$C$14,cost!$C$6:$S$64,cost!$A37,FALSE)</f>
        <v>4.7330041581661257E-2</v>
      </c>
      <c r="AO38">
        <f t="shared" si="3"/>
        <v>1.4388332640825021</v>
      </c>
      <c r="AQ38" s="20">
        <f t="shared" si="4"/>
        <v>1.0565142687656615</v>
      </c>
    </row>
    <row r="39" spans="1:43" x14ac:dyDescent="0.2">
      <c r="A39" s="75">
        <v>35</v>
      </c>
      <c r="B39" s="3" t="s">
        <v>568</v>
      </c>
      <c r="C39" s="21">
        <v>2.4966256797493916E-4</v>
      </c>
      <c r="D39" s="21">
        <v>2.8852754719450207E-4</v>
      </c>
      <c r="E39" s="21">
        <v>6.0175497322675594E-5</v>
      </c>
      <c r="F39" s="21">
        <v>2.8817145097469052E-4</v>
      </c>
      <c r="G39" s="21">
        <v>8.0786464401085846E-5</v>
      </c>
      <c r="H39" s="21">
        <v>4.2448917561948633E-6</v>
      </c>
      <c r="I39" s="21">
        <v>2.3126370147408553E-7</v>
      </c>
      <c r="J39" s="21">
        <v>2.5269148299183024E-5</v>
      </c>
      <c r="K39" s="21">
        <v>1.3917221868604087E-5</v>
      </c>
      <c r="L39" s="21">
        <v>7.2197583888965972E-5</v>
      </c>
      <c r="M39" s="21">
        <v>3.011933910306841E-5</v>
      </c>
      <c r="N39" s="21">
        <v>1.2788376511901848E-8</v>
      </c>
      <c r="O39" s="21">
        <v>2.3710601304747055E-4</v>
      </c>
      <c r="P39" s="21">
        <v>3.1960354557685448E-4</v>
      </c>
      <c r="Q39">
        <v>7.3249682472388869E-6</v>
      </c>
      <c r="R39" s="21">
        <v>2.2095272088933673E-4</v>
      </c>
      <c r="S39" s="21">
        <v>1.2868845272799722E-4</v>
      </c>
      <c r="T39" s="3"/>
      <c r="U39" s="21">
        <f>C39*30.4*cost!C38</f>
        <v>6.237614904678614E-3</v>
      </c>
      <c r="V39" s="21">
        <f>D39*30.4*cost!D38</f>
        <v>7.8700597784110721E-3</v>
      </c>
      <c r="W39" s="21">
        <f>E39*30.4*cost!E38</f>
        <v>1.6577763550588412E-3</v>
      </c>
      <c r="X39" s="21">
        <f>F39*30.4*cost!F38</f>
        <v>9.3477266255673798E-3</v>
      </c>
      <c r="Y39" s="21">
        <f>G39*30.4*cost!G38</f>
        <v>1.7214445327873799E-3</v>
      </c>
      <c r="Z39" s="21">
        <f>H39*30.4*cost!H38</f>
        <v>1.1378176965197167E-4</v>
      </c>
      <c r="AA39" s="21">
        <f>I39*30.4*cost!I38</f>
        <v>5.8332903670008191E-6</v>
      </c>
      <c r="AB39" s="21">
        <f>J39*30.4*cost!J38</f>
        <v>0</v>
      </c>
      <c r="AC39" s="21">
        <f>K39*30.4*cost!K38</f>
        <v>2.761006385055266E-4</v>
      </c>
      <c r="AD39" s="21">
        <f>L39*30.4*cost!L38</f>
        <v>2.611381707532748E-3</v>
      </c>
      <c r="AE39" s="21">
        <f>M39*30.4*cost!M38</f>
        <v>6.2997375070575064E-4</v>
      </c>
      <c r="AF39" s="21">
        <f>N39*30.4*cost!N38</f>
        <v>4.0010154230892866E-7</v>
      </c>
      <c r="AG39" s="21">
        <f>O39*30.4*cost!O38</f>
        <v>4.8247925268890494E-3</v>
      </c>
      <c r="AH39" s="21">
        <f>P39*30.4*cost!P38</f>
        <v>0</v>
      </c>
      <c r="AI39" s="21">
        <f>Q39*30.4*cost!Q38</f>
        <v>1.8597551516174208E-4</v>
      </c>
      <c r="AJ39" s="21">
        <f>R39*30.4*cost!R38</f>
        <v>6.0534650362667457E-3</v>
      </c>
      <c r="AK39" s="21">
        <f>S39*30.4*cost!S38</f>
        <v>3.4963330555219923E-3</v>
      </c>
      <c r="AM39" s="112">
        <f>HLOOKUP(TFP!$C$14,'current consumption'!$C$5:$S$63,'current consumption'!$A37,FALSE)</f>
        <v>5.3280134645083237E-3</v>
      </c>
      <c r="AN39" s="113">
        <f>$AM39*HLOOKUP(TFP!$C$14,cost!$C$6:$S$64,cost!$A38,FALSE)</f>
        <v>4.4498129341817199E-3</v>
      </c>
      <c r="AO39">
        <f t="shared" si="3"/>
        <v>0.13527431319912428</v>
      </c>
      <c r="AQ39" s="20">
        <f t="shared" si="4"/>
        <v>9.9329954109369914E-2</v>
      </c>
    </row>
    <row r="40" spans="1:43" x14ac:dyDescent="0.2">
      <c r="A40" s="75">
        <v>36</v>
      </c>
      <c r="B40" s="3" t="s">
        <v>630</v>
      </c>
      <c r="C40" s="21">
        <v>1.937794617914361E-3</v>
      </c>
      <c r="D40" s="21">
        <v>2.1429388740442693E-3</v>
      </c>
      <c r="E40" s="21">
        <v>7.8951882824310107E-4</v>
      </c>
      <c r="F40" s="21">
        <v>7.7759930249587435E-3</v>
      </c>
      <c r="G40" s="21">
        <v>7.9646739550419952E-4</v>
      </c>
      <c r="H40" s="21">
        <v>1.551958219839231E-3</v>
      </c>
      <c r="I40" s="21">
        <v>2.0871493663565546E-5</v>
      </c>
      <c r="J40" s="21">
        <v>2.3194296366356578E-4</v>
      </c>
      <c r="K40" s="21">
        <v>1.3852622826059495E-4</v>
      </c>
      <c r="L40" s="21">
        <v>3.0063954114676113E-2</v>
      </c>
      <c r="M40" s="21">
        <v>1.5434295545470255E-3</v>
      </c>
      <c r="N40" s="21">
        <v>1.7136957805749493E-4</v>
      </c>
      <c r="O40" s="21">
        <v>3.4250517497207552E-3</v>
      </c>
      <c r="P40" s="21">
        <v>2.4927206053198593E-3</v>
      </c>
      <c r="Q40">
        <v>3.0428466809072677E-4</v>
      </c>
      <c r="R40" s="21">
        <v>1.6453452196591694E-3</v>
      </c>
      <c r="S40" s="21">
        <v>1.103912995685002E-3</v>
      </c>
      <c r="T40" s="3"/>
      <c r="U40" s="21">
        <f>C40*30.4*cost!C39</f>
        <v>2.4536336346977532E-2</v>
      </c>
      <c r="V40" s="21">
        <f>D40*30.4*cost!D39</f>
        <v>3.0235563421107937E-2</v>
      </c>
      <c r="W40" s="21">
        <f>E40*30.4*cost!E39</f>
        <v>1.1849700160668835E-2</v>
      </c>
      <c r="X40" s="21">
        <f>F40*30.4*cost!F39</f>
        <v>0.10848595798487944</v>
      </c>
      <c r="Y40" s="21">
        <f>G40*30.4*cost!G39</f>
        <v>1.0726493535840036E-2</v>
      </c>
      <c r="Z40" s="21">
        <f>H40*30.4*cost!H39</f>
        <v>2.1630580646288932E-2</v>
      </c>
      <c r="AA40" s="21">
        <f>I40*30.4*cost!I39</f>
        <v>2.6741120477776604E-4</v>
      </c>
      <c r="AB40" s="21">
        <f>J40*30.4*cost!J39</f>
        <v>0</v>
      </c>
      <c r="AC40" s="21">
        <f>K40*30.4*cost!K39</f>
        <v>2.0317992075488543E-3</v>
      </c>
      <c r="AD40" s="21">
        <f>L40*30.4*cost!L39</f>
        <v>0.43764968325673564</v>
      </c>
      <c r="AE40" s="21">
        <f>M40*30.4*cost!M39</f>
        <v>1.8780248230283809E-2</v>
      </c>
      <c r="AF40" s="21">
        <f>N40*30.4*cost!N39</f>
        <v>2.3678470898004442E-3</v>
      </c>
      <c r="AG40" s="21">
        <f>O40*30.4*cost!O39</f>
        <v>4.426080200225644E-2</v>
      </c>
      <c r="AH40" s="21">
        <f>P40*30.4*cost!P39</f>
        <v>0</v>
      </c>
      <c r="AI40" s="21">
        <f>Q40*30.4*cost!Q39</f>
        <v>3.8920889403679859E-3</v>
      </c>
      <c r="AJ40" s="21">
        <f>R40*30.4*cost!R39</f>
        <v>2.6495807397119139E-2</v>
      </c>
      <c r="AK40" s="21">
        <f>S40*30.4*cost!S39</f>
        <v>1.3537973342282999E-2</v>
      </c>
      <c r="AM40" s="112">
        <f>HLOOKUP(TFP!$C$14,'current consumption'!$C$5:$S$63,'current consumption'!$A38,FALSE)</f>
        <v>0.37905375061862773</v>
      </c>
      <c r="AN40" s="113">
        <f>$AM40*HLOOKUP(TFP!$C$14,cost!$C$6:$S$64,cost!$A39,FALSE)</f>
        <v>0.15948869349408479</v>
      </c>
      <c r="AO40">
        <f t="shared" si="3"/>
        <v>4.8484562822201775</v>
      </c>
      <c r="AQ40" s="20">
        <f t="shared" si="4"/>
        <v>3.5601506939850736</v>
      </c>
    </row>
    <row r="41" spans="1:43" x14ac:dyDescent="0.2">
      <c r="A41" s="75">
        <v>37</v>
      </c>
      <c r="B41" s="3" t="s">
        <v>631</v>
      </c>
      <c r="C41" s="21">
        <v>6.7560043023690561E-4</v>
      </c>
      <c r="D41" s="21">
        <v>0.39249619622405363</v>
      </c>
      <c r="E41" s="21">
        <v>6.6585355941383459E-4</v>
      </c>
      <c r="F41" s="21">
        <v>0.29027407734323263</v>
      </c>
      <c r="G41" s="21">
        <v>5.8452040358383042E-3</v>
      </c>
      <c r="H41" s="21">
        <v>0.65387414349600115</v>
      </c>
      <c r="I41" s="21">
        <v>2.5104147410245113E-7</v>
      </c>
      <c r="J41" s="21">
        <v>1.4391673067568893E-5</v>
      </c>
      <c r="K41" s="21">
        <v>1.2344106016830503E-5</v>
      </c>
      <c r="L41" s="21">
        <v>7.6132584450760793E-2</v>
      </c>
      <c r="M41" s="21">
        <v>1.1564874287895812E-3</v>
      </c>
      <c r="N41" s="21">
        <v>1.4740618436594476E-2</v>
      </c>
      <c r="O41" s="21">
        <v>8.6450397526187676E-4</v>
      </c>
      <c r="P41" s="21">
        <v>1.0600348704089075E-4</v>
      </c>
      <c r="Q41">
        <v>2.6890168718929662E-4</v>
      </c>
      <c r="R41" s="21">
        <v>3.0444899467377442E-3</v>
      </c>
      <c r="S41" s="21">
        <v>3.6526454936745557E-4</v>
      </c>
      <c r="T41" s="3"/>
      <c r="U41" s="21">
        <f>C41*30.4*cost!C40</f>
        <v>1.4355940939180868E-2</v>
      </c>
      <c r="V41" s="21">
        <f>D41*30.4*cost!D40</f>
        <v>9.1077265674298022</v>
      </c>
      <c r="W41" s="21">
        <f>E41*30.4*cost!E40</f>
        <v>1.8091651939640775E-2</v>
      </c>
      <c r="X41" s="21">
        <f>F41*30.4*cost!F40</f>
        <v>6.5750282417433645</v>
      </c>
      <c r="Y41" s="21">
        <f>G41*30.4*cost!G40</f>
        <v>0.1399596822416557</v>
      </c>
      <c r="Z41" s="21">
        <f>H41*30.4*cost!H40</f>
        <v>16.991950718701112</v>
      </c>
      <c r="AA41" s="21">
        <f>I41*30.4*cost!I40</f>
        <v>6.3326884604245952E-6</v>
      </c>
      <c r="AB41" s="21">
        <f>J41*30.4*cost!J40</f>
        <v>0</v>
      </c>
      <c r="AC41" s="21">
        <f>K41*30.4*cost!K40</f>
        <v>3.7895943912429715E-4</v>
      </c>
      <c r="AD41" s="21">
        <f>L41*30.4*cost!L40</f>
        <v>1.7405652096675839</v>
      </c>
      <c r="AE41" s="21">
        <f>M41*30.4*cost!M40</f>
        <v>2.5472986209233054E-2</v>
      </c>
      <c r="AF41" s="21">
        <f>N41*30.4*cost!N40</f>
        <v>0.36645855194490051</v>
      </c>
      <c r="AG41" s="21">
        <f>O41*30.4*cost!O40</f>
        <v>2.1870899398131426E-2</v>
      </c>
      <c r="AH41" s="21">
        <f>P41*30.4*cost!P40</f>
        <v>0</v>
      </c>
      <c r="AI41" s="21">
        <f>Q41*30.4*cost!Q40</f>
        <v>6.7703147494516643E-3</v>
      </c>
      <c r="AJ41" s="21">
        <f>R41*30.4*cost!R40</f>
        <v>7.5266518039702482E-2</v>
      </c>
      <c r="AK41" s="21">
        <f>S41*30.4*cost!S40</f>
        <v>7.221759944565303E-3</v>
      </c>
      <c r="AM41" s="112">
        <f>HLOOKUP(TFP!$C$14,'current consumption'!$C$5:$S$63,'current consumption'!$A39,FALSE)</f>
        <v>5.4025027241975755E-2</v>
      </c>
      <c r="AN41" s="113">
        <f>$AM41*HLOOKUP(TFP!$C$14,cost!$C$6:$S$64,cost!$A40,FALSE)</f>
        <v>4.4744199543592066E-2</v>
      </c>
      <c r="AO41">
        <f t="shared" si="3"/>
        <v>1.3602236661251987</v>
      </c>
      <c r="AQ41" s="20">
        <f t="shared" si="4"/>
        <v>0.99879238814401572</v>
      </c>
    </row>
    <row r="42" spans="1:43" x14ac:dyDescent="0.2">
      <c r="A42" s="75">
        <v>38</v>
      </c>
      <c r="B42" s="3" t="s">
        <v>348</v>
      </c>
      <c r="C42" s="21">
        <v>8.4683053264834912E-2</v>
      </c>
      <c r="D42" s="21">
        <v>0.30744214971881317</v>
      </c>
      <c r="E42" s="21">
        <v>8.4156809187667991E-2</v>
      </c>
      <c r="F42" s="21">
        <v>0.32881150963745726</v>
      </c>
      <c r="G42" s="21">
        <v>0.48063782385420145</v>
      </c>
      <c r="H42" s="21">
        <v>0.49281165840495572</v>
      </c>
      <c r="I42" s="21">
        <v>1.185925331360763E-5</v>
      </c>
      <c r="J42" s="21">
        <v>1.0929039291121732E-4</v>
      </c>
      <c r="K42" s="21">
        <v>8.1098634779856841E-5</v>
      </c>
      <c r="L42" s="21">
        <v>0.2765524914500101</v>
      </c>
      <c r="M42" s="21">
        <v>0.45780991804394211</v>
      </c>
      <c r="N42" s="21">
        <v>0.48462320538278852</v>
      </c>
      <c r="O42" s="21">
        <v>0.28748324975668971</v>
      </c>
      <c r="P42" s="21">
        <v>3.4714186365410786E-2</v>
      </c>
      <c r="Q42">
        <v>0.41585121102331291</v>
      </c>
      <c r="R42" s="21">
        <v>0.28257537306370734</v>
      </c>
      <c r="S42" s="21">
        <v>0.51408090949207241</v>
      </c>
      <c r="T42" s="3"/>
      <c r="U42" s="21">
        <f>C42*30.4*cost!C41</f>
        <v>1.9416409103488275</v>
      </c>
      <c r="V42" s="21">
        <f>D42*30.4*cost!D41</f>
        <v>7.3582197261798044</v>
      </c>
      <c r="W42" s="21">
        <f>E42*30.4*cost!E41</f>
        <v>1.9953772297506978</v>
      </c>
      <c r="X42" s="21">
        <f>F42*30.4*cost!F41</f>
        <v>8.3770046571429226</v>
      </c>
      <c r="Y42" s="21">
        <f>G42*30.4*cost!G41</f>
        <v>11.128061899102583</v>
      </c>
      <c r="Z42" s="21">
        <f>H42*30.4*cost!H41</f>
        <v>11.848494755685623</v>
      </c>
      <c r="AA42" s="21">
        <f>I42*30.4*cost!I41</f>
        <v>2.9503150217691232E-4</v>
      </c>
      <c r="AB42" s="21">
        <f>J42*30.4*cost!J41</f>
        <v>0</v>
      </c>
      <c r="AC42" s="21">
        <f>K42*30.4*cost!K41</f>
        <v>1.6457295502490909E-3</v>
      </c>
      <c r="AD42" s="21">
        <f>L42*30.4*cost!L41</f>
        <v>5.5719467892834631</v>
      </c>
      <c r="AE42" s="21">
        <f>M42*30.4*cost!M41</f>
        <v>10.90673152311574</v>
      </c>
      <c r="AF42" s="21">
        <f>N42*30.4*cost!N41</f>
        <v>12.152253460832457</v>
      </c>
      <c r="AG42" s="21">
        <f>O42*30.4*cost!O41</f>
        <v>6.8979972940421446</v>
      </c>
      <c r="AH42" s="21">
        <f>P42*30.4*cost!P41</f>
        <v>0</v>
      </c>
      <c r="AI42" s="21">
        <f>Q42*30.4*cost!Q41</f>
        <v>9.3842259518792819</v>
      </c>
      <c r="AJ42" s="21">
        <f>R42*30.4*cost!R41</f>
        <v>6.7799171491450663</v>
      </c>
      <c r="AK42" s="21">
        <f>S42*30.4*cost!S41</f>
        <v>10.661368905703821</v>
      </c>
      <c r="AM42" s="112">
        <f>HLOOKUP(TFP!$C$14,'current consumption'!$C$5:$S$63,'current consumption'!$A40,FALSE)</f>
        <v>0.11464036774567209</v>
      </c>
      <c r="AN42" s="113">
        <f>$AM42*HLOOKUP(TFP!$C$14,cost!$C$6:$S$64,cost!$A41,FALSE)</f>
        <v>8.5099003088385139E-2</v>
      </c>
      <c r="AO42">
        <f t="shared" si="3"/>
        <v>2.587009693886908</v>
      </c>
      <c r="AQ42" s="20">
        <f t="shared" si="4"/>
        <v>1.8996034657076728</v>
      </c>
    </row>
    <row r="43" spans="1:43" x14ac:dyDescent="0.2">
      <c r="A43" s="75">
        <v>39</v>
      </c>
      <c r="B43" s="2" t="s">
        <v>582</v>
      </c>
      <c r="C43" s="21">
        <v>6.6191085897335331E-3</v>
      </c>
      <c r="D43" s="21">
        <v>6.2250354719292685E-3</v>
      </c>
      <c r="E43" s="21">
        <v>3.4513252326456899E-3</v>
      </c>
      <c r="F43" s="21">
        <v>5.1578046122635002E-2</v>
      </c>
      <c r="G43" s="21">
        <v>9.4105144485668764E-3</v>
      </c>
      <c r="H43" s="21">
        <v>1.4487482254991029E-2</v>
      </c>
      <c r="I43" s="21">
        <v>5.5589504883060753E-5</v>
      </c>
      <c r="J43" s="21">
        <v>1.5120774283468562E-3</v>
      </c>
      <c r="K43" s="21">
        <v>8.5487726052649999E-4</v>
      </c>
      <c r="L43" s="21">
        <v>4.5781005320066619E-2</v>
      </c>
      <c r="M43" s="21">
        <v>2.9542104000073407E-3</v>
      </c>
      <c r="N43" s="21">
        <v>8.2530394737314239E-4</v>
      </c>
      <c r="O43" s="21">
        <v>2.1016534479090191E-2</v>
      </c>
      <c r="P43" s="21">
        <v>1.3170974097771036E-2</v>
      </c>
      <c r="Q43">
        <v>2.8221231861035008E-3</v>
      </c>
      <c r="R43" s="21">
        <v>7.0297795098803869E-3</v>
      </c>
      <c r="S43" s="21">
        <v>2.6327085232934013E-3</v>
      </c>
      <c r="T43" s="3"/>
      <c r="U43" s="21">
        <f>C43*30.4*cost!C42</f>
        <v>6.7677606244330848E-2</v>
      </c>
      <c r="V43" s="21">
        <f>D43*30.4*cost!D42</f>
        <v>7.8915766874402535E-2</v>
      </c>
      <c r="W43" s="21">
        <f>E43*30.4*cost!E42</f>
        <v>4.9909305800670649E-2</v>
      </c>
      <c r="X43" s="21">
        <f>F43*30.4*cost!F42</f>
        <v>0.73065304365123374</v>
      </c>
      <c r="Y43" s="21">
        <f>G43*30.4*cost!G42</f>
        <v>0.11722064534955522</v>
      </c>
      <c r="Z43" s="21">
        <f>H43*30.4*cost!H42</f>
        <v>0.20845097918929906</v>
      </c>
      <c r="AA43" s="21">
        <f>I43*30.4*cost!I42</f>
        <v>7.4184021228907598E-4</v>
      </c>
      <c r="AB43" s="21">
        <f>J43*30.4*cost!J42</f>
        <v>0</v>
      </c>
      <c r="AC43" s="21">
        <f>K43*30.4*cost!K42</f>
        <v>1.2183298656353899E-2</v>
      </c>
      <c r="AD43" s="21">
        <f>L43*30.4*cost!L42</f>
        <v>0.6485257317234866</v>
      </c>
      <c r="AE43" s="21">
        <f>M43*30.4*cost!M42</f>
        <v>4.2936299993560786E-2</v>
      </c>
      <c r="AF43" s="21">
        <f>N43*30.4*cost!N42</f>
        <v>8.8871371690692393E-3</v>
      </c>
      <c r="AG43" s="21">
        <f>O43*30.4*cost!O42</f>
        <v>0.2798819908281443</v>
      </c>
      <c r="AH43" s="21">
        <f>P43*30.4*cost!P42</f>
        <v>0</v>
      </c>
      <c r="AI43" s="21">
        <f>Q43*30.4*cost!Q42</f>
        <v>3.8270025298307711E-2</v>
      </c>
      <c r="AJ43" s="21">
        <f>R43*30.4*cost!R42</f>
        <v>7.3737214550098226E-2</v>
      </c>
      <c r="AK43" s="21">
        <f>S43*30.4*cost!S42</f>
        <v>2.3307138493648606E-2</v>
      </c>
      <c r="AM43" s="112">
        <f>HLOOKUP(TFP!$C$14,'current consumption'!$C$5:$S$63,'current consumption'!$A41,FALSE)</f>
        <v>0.9832811038646172</v>
      </c>
      <c r="AN43" s="113">
        <f>$AM43*HLOOKUP(TFP!$C$14,cost!$C$6:$S$64,cost!$A42,FALSE)</f>
        <v>0.43861844619167784</v>
      </c>
      <c r="AO43">
        <f t="shared" si="3"/>
        <v>13.334000764227005</v>
      </c>
      <c r="AQ43" s="20">
        <f t="shared" si="4"/>
        <v>9.7909621766502966</v>
      </c>
    </row>
    <row r="44" spans="1:43" x14ac:dyDescent="0.2">
      <c r="A44" s="75">
        <v>40</v>
      </c>
      <c r="B44" s="3" t="s">
        <v>349</v>
      </c>
      <c r="C44" s="21">
        <v>2.312336724189069E-2</v>
      </c>
      <c r="D44" s="21">
        <v>2.9695704417167845E-2</v>
      </c>
      <c r="E44" s="21">
        <v>6.2525456255329024E-3</v>
      </c>
      <c r="F44" s="21">
        <v>4.0734211089711987E-2</v>
      </c>
      <c r="G44" s="21">
        <v>1.3249466441061999E-2</v>
      </c>
      <c r="H44" s="21">
        <v>9.8324399940599924E-3</v>
      </c>
      <c r="I44" s="21">
        <v>5.2638008443743724E-5</v>
      </c>
      <c r="J44" s="21">
        <v>1.1975534014247697</v>
      </c>
      <c r="K44" s="21">
        <v>0.33132778574737093</v>
      </c>
      <c r="L44" s="21">
        <v>5.541878069846911E-2</v>
      </c>
      <c r="M44" s="21">
        <v>3.7850952260112284E-3</v>
      </c>
      <c r="N44" s="21">
        <v>4.9576847416732211E-4</v>
      </c>
      <c r="O44" s="21">
        <v>1.8455196417880577E-2</v>
      </c>
      <c r="P44" s="21">
        <v>1.913340101610745E-2</v>
      </c>
      <c r="Q44">
        <v>3.6100825845252127E-3</v>
      </c>
      <c r="R44" s="21">
        <v>4.8567672431985174E-3</v>
      </c>
      <c r="S44" s="21">
        <v>6.5520178294016431E-3</v>
      </c>
      <c r="T44" s="3"/>
      <c r="U44" s="21">
        <f>C44*30.4*cost!C43</f>
        <v>1.133724626503724</v>
      </c>
      <c r="V44" s="21">
        <f>D44*30.4*cost!D43</f>
        <v>0.60659596802292504</v>
      </c>
      <c r="W44" s="21">
        <f>E44*30.4*cost!E43</f>
        <v>0.29426417345667688</v>
      </c>
      <c r="X44" s="21">
        <f>F44*30.4*cost!F43</f>
        <v>0.14125138166469137</v>
      </c>
      <c r="Y44" s="21">
        <f>G44*30.4*cost!G43</f>
        <v>5.5749096972723462E-2</v>
      </c>
      <c r="Z44" s="21">
        <f>H44*30.4*cost!H43</f>
        <v>4.3559023520715529E-2</v>
      </c>
      <c r="AA44" s="21">
        <f>I44*30.4*cost!I43</f>
        <v>2.0312032783977146E-4</v>
      </c>
      <c r="AB44" s="21">
        <f>J44*30.4*cost!J43</f>
        <v>0</v>
      </c>
      <c r="AC44" s="21">
        <f>K44*30.4*cost!K43</f>
        <v>1.5471363784982766</v>
      </c>
      <c r="AD44" s="21">
        <f>L44*30.4*cost!L43</f>
        <v>0.3890306398151589</v>
      </c>
      <c r="AE44" s="21">
        <f>M44*30.4*cost!M43</f>
        <v>2.1887767864773495E-2</v>
      </c>
      <c r="AF44" s="21">
        <f>N44*30.4*cost!N43</f>
        <v>2.3138973413935585E-3</v>
      </c>
      <c r="AG44" s="21">
        <f>O44*30.4*cost!O43</f>
        <v>0.11577545161530337</v>
      </c>
      <c r="AH44" s="21">
        <f>P44*30.4*cost!P43</f>
        <v>0</v>
      </c>
      <c r="AI44" s="21">
        <f>Q44*30.4*cost!Q43</f>
        <v>2.3235205509897196E-2</v>
      </c>
      <c r="AJ44" s="21">
        <f>R44*30.4*cost!R43</f>
        <v>4.8898449438551393E-2</v>
      </c>
      <c r="AK44" s="21">
        <f>S44*30.4*cost!S43</f>
        <v>0.31735522980075431</v>
      </c>
      <c r="AM44" s="112">
        <f>HLOOKUP(TFP!$C$14,'current consumption'!$C$5:$S$63,'current consumption'!$A42,FALSE)</f>
        <v>0.52092047117659046</v>
      </c>
      <c r="AN44" s="113">
        <f>$AM44*HLOOKUP(TFP!$C$14,cost!$C$6:$S$64,cost!$A43,FALSE)</f>
        <v>0.1102877361593035</v>
      </c>
      <c r="AO44">
        <f t="shared" si="3"/>
        <v>3.3527471792428263</v>
      </c>
      <c r="AQ44" s="20">
        <f t="shared" si="4"/>
        <v>2.4618733267142194</v>
      </c>
    </row>
    <row r="45" spans="1:43" x14ac:dyDescent="0.2">
      <c r="A45" s="75">
        <v>41</v>
      </c>
      <c r="B45" s="3" t="s">
        <v>350</v>
      </c>
      <c r="C45" s="21">
        <v>1.1046438710190347</v>
      </c>
      <c r="D45" s="21">
        <v>8.1376872483491791E-2</v>
      </c>
      <c r="E45" s="21">
        <v>2.0458924239498702E-2</v>
      </c>
      <c r="F45" s="21">
        <v>0.10210881990223254</v>
      </c>
      <c r="G45" s="21">
        <v>2.4673977367221073E-2</v>
      </c>
      <c r="H45" s="21">
        <v>2.5805211306236055E-2</v>
      </c>
      <c r="I45" s="21">
        <v>3.0697820732892985E-5</v>
      </c>
      <c r="J45" s="21">
        <v>8.7041190184056379E-4</v>
      </c>
      <c r="K45" s="21">
        <v>3.2176286668575557E-4</v>
      </c>
      <c r="L45" s="21">
        <v>9.1259540602521949E-2</v>
      </c>
      <c r="M45" s="21">
        <v>2.0432999208466873E-2</v>
      </c>
      <c r="N45" s="21">
        <v>1.5114482955226835E-3</v>
      </c>
      <c r="O45" s="21">
        <v>2.5080003577852051E-2</v>
      </c>
      <c r="P45" s="21">
        <v>1.1371768393798214</v>
      </c>
      <c r="Q45">
        <v>9.0947910850370656E-3</v>
      </c>
      <c r="R45" s="21">
        <v>3.3234345714395555E-2</v>
      </c>
      <c r="S45" s="21">
        <v>0.27081077910199941</v>
      </c>
      <c r="T45" s="3"/>
      <c r="U45" s="21">
        <f>C45*30.4*cost!C44</f>
        <v>8.5061054732153192</v>
      </c>
      <c r="V45" s="21">
        <f>D45*30.4*cost!D44</f>
        <v>0.7717134536062793</v>
      </c>
      <c r="W45" s="21">
        <f>E45*30.4*cost!E44</f>
        <v>0.19763009367935411</v>
      </c>
      <c r="X45" s="21">
        <f>F45*30.4*cost!F44</f>
        <v>0.94604258694146304</v>
      </c>
      <c r="Y45" s="21">
        <f>G45*30.4*cost!G44</f>
        <v>0.22646611898547936</v>
      </c>
      <c r="Z45" s="21">
        <f>H45*30.4*cost!H44</f>
        <v>0.23219392582245038</v>
      </c>
      <c r="AA45" s="21">
        <f>I45*30.4*cost!I44</f>
        <v>2.936132059854839E-4</v>
      </c>
      <c r="AB45" s="21">
        <f>J45*30.4*cost!J44</f>
        <v>0</v>
      </c>
      <c r="AC45" s="21">
        <f>K45*30.4*cost!K44</f>
        <v>3.1334333926643703E-3</v>
      </c>
      <c r="AD45" s="21">
        <f>L45*30.4*cost!L44</f>
        <v>0.91487058546060029</v>
      </c>
      <c r="AE45" s="21">
        <f>M45*30.4*cost!M44</f>
        <v>0.20502205019833819</v>
      </c>
      <c r="AF45" s="21">
        <f>N45*30.4*cost!N44</f>
        <v>1.3251096873504712E-2</v>
      </c>
      <c r="AG45" s="21">
        <f>O45*30.4*cost!O44</f>
        <v>0.23359361672524825</v>
      </c>
      <c r="AH45" s="21">
        <f>P45*30.4*cost!P44</f>
        <v>0</v>
      </c>
      <c r="AI45" s="21">
        <f>Q45*30.4*cost!Q44</f>
        <v>9.1029054601982795E-2</v>
      </c>
      <c r="AJ45" s="21">
        <f>R45*30.4*cost!R44</f>
        <v>0.3083121706942481</v>
      </c>
      <c r="AK45" s="21">
        <f>S45*30.4*cost!S44</f>
        <v>2.2633944585892061</v>
      </c>
      <c r="AM45" s="112">
        <f>HLOOKUP(TFP!$C$14,'current consumption'!$C$5:$S$63,'current consumption'!$A43,FALSE)</f>
        <v>0.54256680451699613</v>
      </c>
      <c r="AN45" s="113">
        <f>$AM45*HLOOKUP(TFP!$C$14,cost!$C$6:$S$64,cost!$A44,FALSE)</f>
        <v>0.17863515880671646</v>
      </c>
      <c r="AO45">
        <f t="shared" si="3"/>
        <v>5.4305088277241804</v>
      </c>
      <c r="AQ45" s="20">
        <f t="shared" si="4"/>
        <v>3.9875433841926391</v>
      </c>
    </row>
    <row r="46" spans="1:43" x14ac:dyDescent="0.2">
      <c r="A46" s="75">
        <v>42</v>
      </c>
      <c r="B46" s="2" t="s">
        <v>583</v>
      </c>
      <c r="C46" s="21">
        <v>1.7818638042590269E-2</v>
      </c>
      <c r="D46" s="21">
        <v>2.0036780523993634E-2</v>
      </c>
      <c r="E46" s="21">
        <v>5.930887095221605E-3</v>
      </c>
      <c r="F46" s="21">
        <v>7.5324347513514855E-2</v>
      </c>
      <c r="G46" s="21">
        <v>1.1971189198599656E-2</v>
      </c>
      <c r="H46" s="21">
        <v>6.5745682690990055E-3</v>
      </c>
      <c r="I46" s="21">
        <v>2.798047331644155E-4</v>
      </c>
      <c r="J46" s="21">
        <v>6.5324613504452603E-5</v>
      </c>
      <c r="K46" s="21">
        <v>0.67382373829883602</v>
      </c>
      <c r="L46" s="21">
        <v>2.3745725434543745</v>
      </c>
      <c r="M46" s="21">
        <v>1.1004449265389191E-2</v>
      </c>
      <c r="N46" s="21">
        <v>2.8825994084385647E-3</v>
      </c>
      <c r="O46" s="21">
        <v>9.2529899759819598E-3</v>
      </c>
      <c r="P46" s="21">
        <v>0.14005965394156591</v>
      </c>
      <c r="Q46">
        <v>2.3435747708039369E-3</v>
      </c>
      <c r="R46" s="21">
        <v>2.7026134848014096</v>
      </c>
      <c r="S46" s="21">
        <v>1.9084792315262011E-2</v>
      </c>
      <c r="T46" s="3"/>
      <c r="U46" s="21">
        <f>C46*30.4*cost!C45</f>
        <v>0.27267356015705518</v>
      </c>
      <c r="V46" s="21">
        <f>D46*30.4*cost!D45</f>
        <v>0.16574562118678943</v>
      </c>
      <c r="W46" s="21">
        <f>E46*30.4*cost!E45</f>
        <v>5.5828533577192974E-2</v>
      </c>
      <c r="X46" s="21">
        <f>F46*30.4*cost!F45</f>
        <v>0.71141186512286758</v>
      </c>
      <c r="Y46" s="21">
        <f>G46*30.4*cost!G45</f>
        <v>0.11391708448338959</v>
      </c>
      <c r="Z46" s="21">
        <f>H46*30.4*cost!H45</f>
        <v>7.2242513943155326E-2</v>
      </c>
      <c r="AA46" s="21">
        <f>I46*30.4*cost!I45</f>
        <v>2.110388515760518E-3</v>
      </c>
      <c r="AB46" s="21">
        <f>J46*30.4*cost!J45</f>
        <v>0</v>
      </c>
      <c r="AC46" s="21">
        <f>K46*30.4*cost!K45</f>
        <v>5.631289339523752</v>
      </c>
      <c r="AD46" s="21">
        <f>L46*30.4*cost!L45</f>
        <v>20.084604278648754</v>
      </c>
      <c r="AE46" s="21">
        <f>M46*30.4*cost!M45</f>
        <v>0.11618115082309495</v>
      </c>
      <c r="AF46" s="21">
        <f>N46*30.4*cost!N45</f>
        <v>2.3665765220204329E-2</v>
      </c>
      <c r="AG46" s="21">
        <f>O46*30.4*cost!O45</f>
        <v>9.9853536032840778E-2</v>
      </c>
      <c r="AH46" s="21">
        <f>P46*30.4*cost!P45</f>
        <v>0</v>
      </c>
      <c r="AI46" s="21">
        <f>Q46*30.4*cost!Q45</f>
        <v>2.4745957457604557E-2</v>
      </c>
      <c r="AJ46" s="21">
        <f>R46*30.4*cost!R45</f>
        <v>23.350274706904742</v>
      </c>
      <c r="AK46" s="21">
        <f>S46*30.4*cost!S45</f>
        <v>0.19751197014383909</v>
      </c>
      <c r="AM46" s="112">
        <f>HLOOKUP(TFP!$C$14,'current consumption'!$C$5:$S$63,'current consumption'!$A44,FALSE)</f>
        <v>0.15323198039318503</v>
      </c>
      <c r="AN46" s="113">
        <f>$AM46*HLOOKUP(TFP!$C$14,cost!$C$6:$S$64,cost!$A45,FALSE)</f>
        <v>5.3223236300455862E-2</v>
      </c>
      <c r="AO46">
        <f t="shared" si="3"/>
        <v>1.6179863835338582</v>
      </c>
      <c r="AQ46" s="20">
        <f t="shared" si="4"/>
        <v>1.188063789977859</v>
      </c>
    </row>
    <row r="47" spans="1:43" x14ac:dyDescent="0.2">
      <c r="A47" s="75">
        <v>43</v>
      </c>
      <c r="B47" s="3" t="s">
        <v>351</v>
      </c>
      <c r="C47" s="21">
        <v>9.5356128980935803E-2</v>
      </c>
      <c r="D47" s="21">
        <v>1.4429221025639296</v>
      </c>
      <c r="E47" s="21">
        <v>0.50076534906096593</v>
      </c>
      <c r="F47" s="21">
        <v>1.0978911800976667</v>
      </c>
      <c r="G47" s="21">
        <v>1.1753260226327877</v>
      </c>
      <c r="H47" s="21">
        <v>1.4741947886935605</v>
      </c>
      <c r="I47" s="21">
        <v>1.199969302179267</v>
      </c>
      <c r="J47" s="21">
        <v>0.73944529389474645</v>
      </c>
      <c r="K47" s="21">
        <v>1.1996782371333126</v>
      </c>
      <c r="L47" s="21">
        <v>0.20874045939747279</v>
      </c>
      <c r="M47" s="21">
        <v>0.27956700079153357</v>
      </c>
      <c r="N47" s="21">
        <v>0.17848855170447731</v>
      </c>
      <c r="O47" s="21">
        <v>0.27491999642214793</v>
      </c>
      <c r="P47" s="21">
        <v>6.2823160620158844E-2</v>
      </c>
      <c r="Q47">
        <v>0.29090520891496097</v>
      </c>
      <c r="R47" s="21">
        <v>0.26676565428560545</v>
      </c>
      <c r="S47" s="21">
        <v>2.9189220897990715E-2</v>
      </c>
      <c r="T47" s="3"/>
      <c r="U47" s="21">
        <f>C47*30.4*cost!C46</f>
        <v>0.50465320114175982</v>
      </c>
      <c r="V47" s="21">
        <f>D47*30.4*cost!D46</f>
        <v>9.0757170616694118</v>
      </c>
      <c r="W47" s="21">
        <f>E47*30.4*cost!E46</f>
        <v>2.7146320204335557</v>
      </c>
      <c r="X47" s="21">
        <f>F47*30.4*cost!F46</f>
        <v>6.7655977217741157</v>
      </c>
      <c r="Y47" s="21">
        <f>G47*30.4*cost!G46</f>
        <v>6.0509067890623269</v>
      </c>
      <c r="Z47" s="21">
        <f>H47*30.4*cost!H46</f>
        <v>8.6645634550285155</v>
      </c>
      <c r="AA47" s="21">
        <f>I47*30.4*cost!I46</f>
        <v>6.02328721879997</v>
      </c>
      <c r="AB47" s="21">
        <f>J47*30.4*cost!J46</f>
        <v>0</v>
      </c>
      <c r="AC47" s="21">
        <f>K47*30.4*cost!K46</f>
        <v>6.3404302681437388</v>
      </c>
      <c r="AD47" s="21">
        <f>L47*30.4*cost!L46</f>
        <v>1.0282037014458429</v>
      </c>
      <c r="AE47" s="21">
        <f>M47*30.4*cost!M46</f>
        <v>1.9210592553906978</v>
      </c>
      <c r="AF47" s="21">
        <f>N47*30.4*cost!N46</f>
        <v>1.0930966794429176</v>
      </c>
      <c r="AG47" s="21">
        <f>O47*30.4*cost!O46</f>
        <v>1.5942863858531615</v>
      </c>
      <c r="AH47" s="21">
        <f>P47*30.4*cost!P46</f>
        <v>0</v>
      </c>
      <c r="AI47" s="21">
        <f>Q47*30.4*cost!Q46</f>
        <v>1.7641976146399427</v>
      </c>
      <c r="AJ47" s="21">
        <f>R47*30.4*cost!R46</f>
        <v>1.1334516123467009</v>
      </c>
      <c r="AK47" s="21">
        <f>S47*30.4*cost!S46</f>
        <v>0.17633713625275929</v>
      </c>
      <c r="AM47" s="112">
        <f>HLOOKUP(TFP!$C$14,'current consumption'!$C$5:$S$63,'current consumption'!$A45,FALSE)</f>
        <v>0.41393223160461351</v>
      </c>
      <c r="AN47" s="113">
        <f>$AM47*HLOOKUP(TFP!$C$14,cost!$C$6:$S$64,cost!$A46,FALSE)</f>
        <v>8.2575534604465289E-2</v>
      </c>
      <c r="AO47">
        <f t="shared" si="3"/>
        <v>2.5102962519757446</v>
      </c>
      <c r="AQ47" s="20">
        <f t="shared" si="4"/>
        <v>1.8432739047998965</v>
      </c>
    </row>
    <row r="48" spans="1:43" x14ac:dyDescent="0.2">
      <c r="A48" s="75">
        <v>44</v>
      </c>
      <c r="B48" s="2" t="s">
        <v>584</v>
      </c>
      <c r="C48" s="21">
        <v>0.75793691797565765</v>
      </c>
      <c r="D48" s="21">
        <v>0.69100215232676754</v>
      </c>
      <c r="E48" s="21">
        <v>1.8704904732423981</v>
      </c>
      <c r="F48" s="21">
        <v>1.4195507539122783</v>
      </c>
      <c r="G48" s="21">
        <v>2.2083688588475581</v>
      </c>
      <c r="H48" s="21">
        <v>2.0225803159448104</v>
      </c>
      <c r="I48" s="21">
        <v>2.9317256969283099</v>
      </c>
      <c r="J48" s="21">
        <v>3.1609979483799866</v>
      </c>
      <c r="K48" s="21">
        <v>2.3750185837715896</v>
      </c>
      <c r="L48" s="21">
        <v>0.70575404551108278</v>
      </c>
      <c r="M48" s="21">
        <v>2.7122390534962815</v>
      </c>
      <c r="N48" s="21">
        <v>2.7679356974453859</v>
      </c>
      <c r="O48" s="21">
        <v>2.7041598311112973</v>
      </c>
      <c r="P48" s="21">
        <v>2.0893970015576215</v>
      </c>
      <c r="Q48">
        <v>2.7039111665126554</v>
      </c>
      <c r="R48" s="21">
        <v>0.44597381929034108</v>
      </c>
      <c r="S48" s="21">
        <v>1.9729472872604306</v>
      </c>
      <c r="T48" s="3"/>
      <c r="U48" s="21">
        <f>C48*30.4*cost!C47</f>
        <v>7.1423753615787131</v>
      </c>
      <c r="V48" s="21">
        <f>D48*30.4*cost!D47</f>
        <v>6.2683683731083697</v>
      </c>
      <c r="W48" s="21">
        <f>E48*30.4*cost!E47</f>
        <v>17.132877396404076</v>
      </c>
      <c r="X48" s="21">
        <f>F48*30.4*cost!F47</f>
        <v>13.477863318102349</v>
      </c>
      <c r="Y48" s="21">
        <f>G48*30.4*cost!G47</f>
        <v>20.671962779324208</v>
      </c>
      <c r="Z48" s="21">
        <f>H48*30.4*cost!H47</f>
        <v>18.071745322261123</v>
      </c>
      <c r="AA48" s="21">
        <f>I48*30.4*cost!I47</f>
        <v>27.284906069457765</v>
      </c>
      <c r="AB48" s="21">
        <f>J48*30.4*cost!J47</f>
        <v>0</v>
      </c>
      <c r="AC48" s="21">
        <f>K48*30.4*cost!K47</f>
        <v>24.755173531218613</v>
      </c>
      <c r="AD48" s="21">
        <f>L48*30.4*cost!L47</f>
        <v>6.7454380427779395</v>
      </c>
      <c r="AE48" s="21">
        <f>M48*30.4*cost!M47</f>
        <v>26.067996589048875</v>
      </c>
      <c r="AF48" s="21">
        <f>N48*30.4*cost!N47</f>
        <v>26.342938684247123</v>
      </c>
      <c r="AG48" s="21">
        <f>O48*30.4*cost!O47</f>
        <v>25.952975463690947</v>
      </c>
      <c r="AH48" s="21">
        <f>P48*30.4*cost!P47</f>
        <v>0</v>
      </c>
      <c r="AI48" s="21">
        <f>Q48*30.4*cost!Q47</f>
        <v>27.222906582889269</v>
      </c>
      <c r="AJ48" s="21">
        <f>R48*30.4*cost!R47</f>
        <v>4.3480434495129368</v>
      </c>
      <c r="AK48" s="21">
        <f>S48*30.4*cost!S47</f>
        <v>18.037000236437521</v>
      </c>
      <c r="AM48" s="112">
        <f>HLOOKUP(TFP!$C$14,'current consumption'!$C$5:$S$63,'current consumption'!$A46,FALSE)</f>
        <v>0.46844306735927982</v>
      </c>
      <c r="AN48" s="113">
        <f>$AM48*HLOOKUP(TFP!$C$14,cost!$C$6:$S$64,cost!$A47,FALSE)</f>
        <v>0.15514054258136983</v>
      </c>
      <c r="AO48">
        <f t="shared" si="3"/>
        <v>4.7162724944736425</v>
      </c>
      <c r="AQ48" s="20">
        <f t="shared" si="4"/>
        <v>3.4630900676151661</v>
      </c>
    </row>
    <row r="49" spans="1:43" x14ac:dyDescent="0.2">
      <c r="A49" s="75">
        <v>45</v>
      </c>
      <c r="B49" s="2" t="s">
        <v>230</v>
      </c>
      <c r="C49" s="21">
        <v>1.4383131927237287E-2</v>
      </c>
      <c r="D49" s="21">
        <v>5.4843778153480559E-3</v>
      </c>
      <c r="E49" s="21">
        <v>4.2665514431959196E-3</v>
      </c>
      <c r="F49" s="21">
        <v>1.7031460806040084E-2</v>
      </c>
      <c r="G49" s="21">
        <v>3.9305486643289389E-3</v>
      </c>
      <c r="H49" s="21">
        <v>0.16933007329098296</v>
      </c>
      <c r="I49" s="21">
        <v>0.73445158048822878</v>
      </c>
      <c r="J49" s="21">
        <v>6.8842889061349066E-4</v>
      </c>
      <c r="K49" s="21">
        <v>0.44673341782496839</v>
      </c>
      <c r="L49" s="21">
        <v>1.1032437998490998</v>
      </c>
      <c r="M49" s="21">
        <v>0.97102474081151946</v>
      </c>
      <c r="N49" s="21">
        <v>1.2223620294677785E-3</v>
      </c>
      <c r="O49" s="21">
        <v>0.3392352928986348</v>
      </c>
      <c r="P49" s="21">
        <v>0.53951597366787774</v>
      </c>
      <c r="Q49">
        <v>2.3507886315388945E-3</v>
      </c>
      <c r="R49" s="21">
        <v>0.9088680312969637</v>
      </c>
      <c r="S49" s="21">
        <v>3.1862719384476153E-3</v>
      </c>
      <c r="T49" s="3"/>
      <c r="U49" s="21">
        <f>C49*30.4*cost!C48</f>
        <v>0.12760186133087295</v>
      </c>
      <c r="V49" s="21">
        <f>D49*30.4*cost!D48</f>
        <v>6.5719086839373636E-2</v>
      </c>
      <c r="W49" s="21">
        <f>E49*30.4*cost!E48</f>
        <v>4.7351630461190848E-2</v>
      </c>
      <c r="X49" s="21">
        <f>F49*30.4*cost!F48</f>
        <v>0.20616431171260777</v>
      </c>
      <c r="Y49" s="21">
        <f>G49*30.4*cost!G48</f>
        <v>4.7120600338478945E-2</v>
      </c>
      <c r="Z49" s="21">
        <f>H49*30.4*cost!H48</f>
        <v>2.5684898225087918</v>
      </c>
      <c r="AA49" s="21">
        <f>I49*30.4*cost!I48</f>
        <v>8.1348506864913386</v>
      </c>
      <c r="AB49" s="21">
        <f>J49*30.4*cost!J48</f>
        <v>0</v>
      </c>
      <c r="AC49" s="21">
        <f>K49*30.4*cost!K48</f>
        <v>4.291926528675277</v>
      </c>
      <c r="AD49" s="21">
        <f>L49*30.4*cost!L48</f>
        <v>10.177021203223637</v>
      </c>
      <c r="AE49" s="21">
        <f>M49*30.4*cost!M48</f>
        <v>7.2102955660226629</v>
      </c>
      <c r="AF49" s="21">
        <f>N49*30.4*cost!N48</f>
        <v>1.6703776718413308E-2</v>
      </c>
      <c r="AG49" s="21">
        <f>O49*30.4*cost!O48</f>
        <v>3.1655742771970097</v>
      </c>
      <c r="AH49" s="21">
        <f>P49*30.4*cost!P48</f>
        <v>0</v>
      </c>
      <c r="AI49" s="21">
        <f>Q49*30.4*cost!Q48</f>
        <v>2.7657892703347599E-2</v>
      </c>
      <c r="AJ49" s="21">
        <f>R49*30.4*cost!R48</f>
        <v>10.340739552609589</v>
      </c>
      <c r="AK49" s="21">
        <f>S49*30.4*cost!S48</f>
        <v>3.0750019745131984E-2</v>
      </c>
      <c r="AM49" s="112">
        <f>HLOOKUP(TFP!$C$14,'current consumption'!$C$5:$S$63,'current consumption'!$A47,FALSE)</f>
        <v>0.35712194841285549</v>
      </c>
      <c r="AN49" s="113">
        <f>$AM49*HLOOKUP(TFP!$C$14,cost!$C$6:$S$64,cost!$A48,FALSE)</f>
        <v>0.1382128633945873</v>
      </c>
      <c r="AO49">
        <f t="shared" si="3"/>
        <v>4.2016710471954539</v>
      </c>
      <c r="AQ49" s="20">
        <f t="shared" si="4"/>
        <v>3.0852257345136125</v>
      </c>
    </row>
    <row r="50" spans="1:43" x14ac:dyDescent="0.2">
      <c r="A50" s="75">
        <v>46</v>
      </c>
      <c r="B50" s="3" t="s">
        <v>352</v>
      </c>
      <c r="C50" s="21">
        <v>0.30644043602363652</v>
      </c>
      <c r="D50" s="21">
        <v>0.52563322169636728</v>
      </c>
      <c r="E50" s="21">
        <v>0.46599629431157741</v>
      </c>
      <c r="F50" s="21">
        <v>3.7692616016638897E-2</v>
      </c>
      <c r="G50" s="21">
        <v>0.37605660112194189</v>
      </c>
      <c r="H50" s="21">
        <v>0.74469579674204089</v>
      </c>
      <c r="I50" s="21">
        <v>1.17818404132084</v>
      </c>
      <c r="J50" s="21">
        <v>1.4628931637112057</v>
      </c>
      <c r="K50" s="21">
        <v>0.90425930654938225</v>
      </c>
      <c r="L50" s="21">
        <v>0.10122769155939673</v>
      </c>
      <c r="M50" s="21">
        <v>5.8651465127928862E-3</v>
      </c>
      <c r="N50" s="21">
        <v>1.103450787333174</v>
      </c>
      <c r="O50" s="21">
        <v>0.75481894266155225</v>
      </c>
      <c r="P50" s="21">
        <v>1.1139750713827371E-2</v>
      </c>
      <c r="Q50">
        <v>1.2158989687692729</v>
      </c>
      <c r="R50" s="21">
        <v>8.3579117021040997E-3</v>
      </c>
      <c r="S50" s="21">
        <v>0.34607862391811561</v>
      </c>
      <c r="T50" s="3"/>
      <c r="U50" s="21">
        <f>C50*30.4*cost!C49</f>
        <v>1.2503931620783995</v>
      </c>
      <c r="V50" s="21">
        <f>D50*30.4*cost!D49</f>
        <v>2.2061458971419241</v>
      </c>
      <c r="W50" s="21">
        <f>E50*30.4*cost!E49</f>
        <v>2.1752117682834005</v>
      </c>
      <c r="X50" s="21">
        <f>F50*30.4*cost!F49</f>
        <v>0.15341058163160806</v>
      </c>
      <c r="Y50" s="21">
        <f>G50*30.4*cost!G49</f>
        <v>1.4054620577071941</v>
      </c>
      <c r="Z50" s="21">
        <f>H50*30.4*cost!H49</f>
        <v>3.5717953372225235</v>
      </c>
      <c r="AA50" s="21">
        <f>I50*30.4*cost!I49</f>
        <v>6.5561818964980638</v>
      </c>
      <c r="AB50" s="21">
        <f>J50*30.4*cost!J49</f>
        <v>0</v>
      </c>
      <c r="AC50" s="21">
        <f>K50*30.4*cost!K49</f>
        <v>3.9068545740227871</v>
      </c>
      <c r="AD50" s="21">
        <f>L50*30.4*cost!L49</f>
        <v>0.44973016936002513</v>
      </c>
      <c r="AE50" s="21">
        <f>M50*30.4*cost!M49</f>
        <v>2.695577181715015E-2</v>
      </c>
      <c r="AF50" s="21">
        <f>N50*30.4*cost!N49</f>
        <v>3.7466606338435575</v>
      </c>
      <c r="AG50" s="21">
        <f>O50*30.4*cost!O49</f>
        <v>3.1625809142223402</v>
      </c>
      <c r="AH50" s="21">
        <f>P50*30.4*cost!P49</f>
        <v>0</v>
      </c>
      <c r="AI50" s="21">
        <f>Q50*30.4*cost!Q49</f>
        <v>5.3541933127256183</v>
      </c>
      <c r="AJ50" s="21">
        <f>R50*30.4*cost!R49</f>
        <v>3.9605751379724781E-2</v>
      </c>
      <c r="AK50" s="21">
        <f>S50*30.4*cost!S49</f>
        <v>1.5245466039723883</v>
      </c>
      <c r="AM50" s="112">
        <f>HLOOKUP(TFP!$C$14,'current consumption'!$C$5:$S$63,'current consumption'!$A48,FALSE)</f>
        <v>0.15575720259022371</v>
      </c>
      <c r="AN50" s="113">
        <f>$AM50*HLOOKUP(TFP!$C$14,cost!$C$6:$S$64,cost!$A49,FALSE)</f>
        <v>2.256166322034437E-2</v>
      </c>
      <c r="AO50">
        <f t="shared" si="3"/>
        <v>0.68587456189846885</v>
      </c>
      <c r="AQ50" s="20">
        <f t="shared" si="4"/>
        <v>0.5036276817600589</v>
      </c>
    </row>
    <row r="51" spans="1:43" x14ac:dyDescent="0.2">
      <c r="A51" s="75">
        <v>47</v>
      </c>
      <c r="B51" s="2" t="s">
        <v>176</v>
      </c>
      <c r="C51" s="21">
        <v>5.9535969712120537E-2</v>
      </c>
      <c r="D51" s="21">
        <v>1.628754438991707E-3</v>
      </c>
      <c r="E51" s="21">
        <v>0.14317345312172042</v>
      </c>
      <c r="F51" s="21">
        <v>3.0565184266354512E-3</v>
      </c>
      <c r="G51" s="21">
        <v>1.6495320299006774E-3</v>
      </c>
      <c r="H51" s="21">
        <v>7.1120381580162389E-5</v>
      </c>
      <c r="I51" s="21">
        <v>3.0949953539958316E-6</v>
      </c>
      <c r="J51" s="21">
        <v>0.32561591145732177</v>
      </c>
      <c r="K51" s="21">
        <v>5.4120438798339006E-2</v>
      </c>
      <c r="L51" s="21">
        <v>5.087723016741077E-3</v>
      </c>
      <c r="M51" s="21">
        <v>1.3796434716632454E-3</v>
      </c>
      <c r="N51" s="21">
        <v>2.3565741036970433E-5</v>
      </c>
      <c r="O51" s="21">
        <v>2.3941783898718877E-3</v>
      </c>
      <c r="P51" s="21">
        <v>2.2643692638480359E-3</v>
      </c>
      <c r="Q51">
        <v>0.24454953040097835</v>
      </c>
      <c r="R51" s="21">
        <v>1.2180619491122088E-2</v>
      </c>
      <c r="S51" s="21">
        <v>3.8719432682353615E-3</v>
      </c>
      <c r="T51" s="3"/>
      <c r="U51" s="21">
        <f>C51*30.4*cost!C50</f>
        <v>1.0833063169350308</v>
      </c>
      <c r="V51" s="21">
        <f>D51*30.4*cost!D50</f>
        <v>2.5191510115349005E-2</v>
      </c>
      <c r="W51" s="21">
        <f>E51*30.4*cost!E50</f>
        <v>3.1751977686371871</v>
      </c>
      <c r="X51" s="21">
        <f>F51*30.4*cost!F50</f>
        <v>4.7263386337743844E-2</v>
      </c>
      <c r="Y51" s="21">
        <f>G51*30.4*cost!G50</f>
        <v>2.7358831108779635E-2</v>
      </c>
      <c r="Z51" s="21">
        <f>H51*30.4*cost!H50</f>
        <v>2.0173756204208146E-3</v>
      </c>
      <c r="AA51" s="21">
        <f>I51*30.4*cost!I50</f>
        <v>4.5980417344528358E-5</v>
      </c>
      <c r="AB51" s="21">
        <f>J51*30.4*cost!J50</f>
        <v>0</v>
      </c>
      <c r="AC51" s="21">
        <f>K51*30.4*cost!K50</f>
        <v>0.79640031197169836</v>
      </c>
      <c r="AD51" s="21">
        <f>L51*30.4*cost!L50</f>
        <v>8.3362991313001539E-2</v>
      </c>
      <c r="AE51" s="21">
        <f>M51*30.4*cost!M50</f>
        <v>2.7708796169513272E-2</v>
      </c>
      <c r="AF51" s="21">
        <f>N51*30.4*cost!N50</f>
        <v>3.1984175495274747E-4</v>
      </c>
      <c r="AG51" s="21">
        <f>O51*30.4*cost!O50</f>
        <v>3.8756997377218549E-2</v>
      </c>
      <c r="AH51" s="21">
        <f>P51*30.4*cost!P50</f>
        <v>0</v>
      </c>
      <c r="AI51" s="21">
        <f>Q51*30.4*cost!Q50</f>
        <v>4.2634232220793695</v>
      </c>
      <c r="AJ51" s="21">
        <f>R51*30.4*cost!R50</f>
        <v>0.19649827793234875</v>
      </c>
      <c r="AK51" s="21">
        <f>S51*30.4*cost!S50</f>
        <v>6.007971789832748E-2</v>
      </c>
      <c r="AM51" s="112">
        <f>HLOOKUP(TFP!$C$14,'current consumption'!$C$5:$S$63,'current consumption'!$A49,FALSE)</f>
        <v>4.0164331607211327E-2</v>
      </c>
      <c r="AN51" s="113">
        <f>$AM51*HLOOKUP(TFP!$C$14,cost!$C$6:$S$64,cost!$A50,FALSE)</f>
        <v>2.3033427790884162E-2</v>
      </c>
      <c r="AO51">
        <f t="shared" si="3"/>
        <v>0.7002162048428785</v>
      </c>
      <c r="AQ51" s="20">
        <f t="shared" si="4"/>
        <v>0.51415854088498558</v>
      </c>
    </row>
    <row r="52" spans="1:43" x14ac:dyDescent="0.2">
      <c r="A52" s="75">
        <v>48</v>
      </c>
      <c r="B52" s="2" t="s">
        <v>448</v>
      </c>
      <c r="C52" s="21">
        <v>5.6368607641464608E-4</v>
      </c>
      <c r="D52" s="21">
        <v>2.514320165286573E-4</v>
      </c>
      <c r="E52" s="21">
        <v>3.4369516258449987E-5</v>
      </c>
      <c r="F52" s="21">
        <v>4.4232192338206983E-4</v>
      </c>
      <c r="G52" s="21">
        <v>1.4242940967152775E-4</v>
      </c>
      <c r="H52" s="21">
        <v>0.14439910314074936</v>
      </c>
      <c r="I52" s="21">
        <v>0.4333543179138778</v>
      </c>
      <c r="J52" s="21">
        <v>0.62607667437023118</v>
      </c>
      <c r="K52" s="21">
        <v>0.2166771589569389</v>
      </c>
      <c r="L52" s="21">
        <v>0.28263167411610118</v>
      </c>
      <c r="M52" s="21">
        <v>1.1072181935182128E-3</v>
      </c>
      <c r="N52" s="21">
        <v>4.6915582206981921E-6</v>
      </c>
      <c r="O52" s="21">
        <v>3.5419820841490167E-4</v>
      </c>
      <c r="P52" s="21">
        <v>5.1301378813296987E-2</v>
      </c>
      <c r="Q52">
        <v>2.6849580901966649E-5</v>
      </c>
      <c r="R52" s="21">
        <v>1.878688407448786E-3</v>
      </c>
      <c r="S52" s="21">
        <v>3.8407964796493638E-4</v>
      </c>
      <c r="T52" s="3"/>
      <c r="U52" s="21">
        <f>C52*30.4*cost!C51</f>
        <v>4.3498554717647138E-3</v>
      </c>
      <c r="V52" s="21">
        <f>D52*30.4*cost!D51</f>
        <v>1.8415381080084405E-3</v>
      </c>
      <c r="W52" s="21">
        <f>E52*30.4*cost!E51</f>
        <v>2.3611435149436172E-4</v>
      </c>
      <c r="X52" s="21">
        <f>F52*30.4*cost!F51</f>
        <v>3.088890031622406E-3</v>
      </c>
      <c r="Y52" s="21">
        <f>G52*30.4*cost!G51</f>
        <v>9.2789408364340575E-4</v>
      </c>
      <c r="Z52" s="21">
        <f>H52*30.4*cost!H51</f>
        <v>1.0256621559688615</v>
      </c>
      <c r="AA52" s="21">
        <f>I52*30.4*cost!I51</f>
        <v>3.0912841425097857</v>
      </c>
      <c r="AB52" s="21">
        <f>J52*30.4*cost!J51</f>
        <v>0</v>
      </c>
      <c r="AC52" s="21">
        <f>K52*30.4*cost!K51</f>
        <v>1.5497884111197651</v>
      </c>
      <c r="AD52" s="21">
        <f>L52*30.4*cost!L51</f>
        <v>1.9576346350537037</v>
      </c>
      <c r="AE52" s="21">
        <f>M52*30.4*cost!M51</f>
        <v>8.3155471463065948E-3</v>
      </c>
      <c r="AF52" s="21">
        <f>N52*30.4*cost!N51</f>
        <v>3.1913899261310772E-5</v>
      </c>
      <c r="AG52" s="21">
        <f>O52*30.4*cost!O51</f>
        <v>2.4439637874764369E-3</v>
      </c>
      <c r="AH52" s="21">
        <f>P52*30.4*cost!P51</f>
        <v>0</v>
      </c>
      <c r="AI52" s="21">
        <f>Q52*30.4*cost!Q51</f>
        <v>2.0262831871752576E-4</v>
      </c>
      <c r="AJ52" s="21">
        <f>R52*30.4*cost!R51</f>
        <v>1.3856683063923115E-2</v>
      </c>
      <c r="AK52" s="21">
        <f>S52*30.4*cost!S51</f>
        <v>2.7121307822038348E-3</v>
      </c>
      <c r="AM52" s="112">
        <f>HLOOKUP(TFP!$C$14,'current consumption'!$C$5:$S$63,'current consumption'!$A50,FALSE)</f>
        <v>9.3171626363230762E-3</v>
      </c>
      <c r="AN52" s="113">
        <f>$AM52*HLOOKUP(TFP!$C$14,cost!$C$6:$S$64,cost!$A51,FALSE)</f>
        <v>2.3129845008581563E-3</v>
      </c>
      <c r="AO52">
        <f t="shared" si="3"/>
        <v>7.0314728826087955E-2</v>
      </c>
      <c r="AQ52" s="20">
        <f t="shared" si="4"/>
        <v>5.1631079266520503E-2</v>
      </c>
    </row>
    <row r="53" spans="1:43" x14ac:dyDescent="0.2">
      <c r="A53" s="75">
        <v>49</v>
      </c>
      <c r="B53" s="3" t="s">
        <v>188</v>
      </c>
      <c r="C53" s="21">
        <v>0.14050484155740928</v>
      </c>
      <c r="D53" s="21">
        <v>0.27938639444293611</v>
      </c>
      <c r="E53" s="21">
        <v>0.16398183419755838</v>
      </c>
      <c r="F53" s="21">
        <v>0.33980310290188848</v>
      </c>
      <c r="G53" s="21">
        <v>1.028595017693009</v>
      </c>
      <c r="H53" s="21">
        <v>0.54090013872461273</v>
      </c>
      <c r="I53" s="21">
        <v>0.55066672053157828</v>
      </c>
      <c r="J53" s="21">
        <v>0.29814911058471505</v>
      </c>
      <c r="K53" s="21">
        <v>0.50889619204558234</v>
      </c>
      <c r="L53" s="21">
        <v>0.55065608256735554</v>
      </c>
      <c r="M53" s="21">
        <v>0.56469399844860013</v>
      </c>
      <c r="N53" s="21">
        <v>0.8819252012914186</v>
      </c>
      <c r="O53" s="21">
        <v>0.54619372576634906</v>
      </c>
      <c r="P53" s="21">
        <v>0.55889604210114729</v>
      </c>
      <c r="Q53">
        <v>0.36118889953847366</v>
      </c>
      <c r="R53" s="21">
        <v>1.1893408738602129</v>
      </c>
      <c r="S53" s="21">
        <v>2.6543142385225362</v>
      </c>
      <c r="T53" s="3"/>
      <c r="U53" s="21">
        <f>C53*30.4*cost!C52</f>
        <v>1.7768168315335624</v>
      </c>
      <c r="V53" s="21">
        <f>D53*30.4*cost!D52</f>
        <v>4.3740258189902805</v>
      </c>
      <c r="W53" s="21">
        <f>E53*30.4*cost!E52</f>
        <v>2.6265380026615111</v>
      </c>
      <c r="X53" s="21">
        <f>F53*30.4*cost!F52</f>
        <v>8.2179541825850801</v>
      </c>
      <c r="Y53" s="21">
        <f>G53*30.4*cost!G52</f>
        <v>20.521721137382336</v>
      </c>
      <c r="Z53" s="21">
        <f>H53*30.4*cost!H52</f>
        <v>6.4583825988620802</v>
      </c>
      <c r="AA53" s="21">
        <f>I53*30.4*cost!I52</f>
        <v>9.3142145657413344</v>
      </c>
      <c r="AB53" s="21">
        <f>J53*30.4*cost!J52</f>
        <v>0</v>
      </c>
      <c r="AC53" s="21">
        <f>K53*30.4*cost!K52</f>
        <v>7.6413482366977314</v>
      </c>
      <c r="AD53" s="21">
        <f>L53*30.4*cost!L52</f>
        <v>7.6281226763426098</v>
      </c>
      <c r="AE53" s="21">
        <f>M53*30.4*cost!M52</f>
        <v>7.9258082580675246</v>
      </c>
      <c r="AF53" s="21">
        <f>N53*30.4*cost!N52</f>
        <v>11.474978354917299</v>
      </c>
      <c r="AG53" s="21">
        <f>O53*30.4*cost!O52</f>
        <v>9.1264566447301831</v>
      </c>
      <c r="AH53" s="21">
        <f>P53*30.4*cost!P52</f>
        <v>0</v>
      </c>
      <c r="AI53" s="21">
        <f>Q53*30.4*cost!Q52</f>
        <v>6.4656357359552503</v>
      </c>
      <c r="AJ53" s="21">
        <f>R53*30.4*cost!R52</f>
        <v>18.175518176638668</v>
      </c>
      <c r="AK53" s="21">
        <f>S53*30.4*cost!S52</f>
        <v>40.461522351537056</v>
      </c>
      <c r="AM53" s="112">
        <f>HLOOKUP(TFP!$C$14,'current consumption'!$C$5:$S$63,'current consumption'!$A51,FALSE)</f>
        <v>3.439887401543993E-2</v>
      </c>
      <c r="AN53" s="113">
        <f>$AM53*HLOOKUP(TFP!$C$14,cost!$C$6:$S$64,cost!$A52,FALSE)</f>
        <v>2.0255710541070299E-2</v>
      </c>
      <c r="AO53">
        <f t="shared" si="3"/>
        <v>0.61577360044853702</v>
      </c>
      <c r="AQ53" s="20">
        <f t="shared" si="4"/>
        <v>0.45215356875831936</v>
      </c>
    </row>
    <row r="54" spans="1:43" x14ac:dyDescent="0.2">
      <c r="A54" s="75">
        <v>50</v>
      </c>
      <c r="B54" s="3" t="s">
        <v>189</v>
      </c>
      <c r="C54" s="21">
        <v>9.6925194850563098E-2</v>
      </c>
      <c r="D54" s="21">
        <v>0.14313959390176997</v>
      </c>
      <c r="E54" s="21">
        <v>0.56716757770041792</v>
      </c>
      <c r="F54" s="21">
        <v>0.21195349448189141</v>
      </c>
      <c r="G54" s="21">
        <v>1.1871209390915369</v>
      </c>
      <c r="H54" s="21">
        <v>0.2517662637433814</v>
      </c>
      <c r="I54" s="21">
        <v>1.9475421743483403E-2</v>
      </c>
      <c r="J54" s="21">
        <v>3.9109716149443805E-5</v>
      </c>
      <c r="K54" s="21">
        <v>0.23501890121983288</v>
      </c>
      <c r="L54" s="21">
        <v>0.1618367699966767</v>
      </c>
      <c r="M54" s="21">
        <v>0.35954233729467133</v>
      </c>
      <c r="N54" s="21">
        <v>0.35650699946939901</v>
      </c>
      <c r="O54" s="21">
        <v>0.21369106072714178</v>
      </c>
      <c r="P54" s="21">
        <v>0.10902868078476428</v>
      </c>
      <c r="Q54">
        <v>0.61738788801368005</v>
      </c>
      <c r="R54" s="21">
        <v>0.19854371342454971</v>
      </c>
      <c r="S54" s="21">
        <v>0.19604643437182073</v>
      </c>
      <c r="T54" s="3"/>
      <c r="U54" s="21">
        <f>C54*30.4*cost!C53</f>
        <v>0.95465599668444656</v>
      </c>
      <c r="V54" s="21">
        <f>D54*30.4*cost!D53</f>
        <v>1.114524432615388</v>
      </c>
      <c r="W54" s="21">
        <f>E54*30.4*cost!E53</f>
        <v>4.5144644239992893</v>
      </c>
      <c r="X54" s="21">
        <f>F54*30.4*cost!F53</f>
        <v>1.8834237219663172</v>
      </c>
      <c r="Y54" s="21">
        <f>G54*30.4*cost!G53</f>
        <v>9.5342071802978552</v>
      </c>
      <c r="Z54" s="21">
        <f>H54*30.4*cost!H53</f>
        <v>2.2502050671608362</v>
      </c>
      <c r="AA54" s="21">
        <f>I54*30.4*cost!I53</f>
        <v>0.15036492619141623</v>
      </c>
      <c r="AB54" s="21">
        <f>J54*30.4*cost!J53</f>
        <v>0</v>
      </c>
      <c r="AC54" s="21">
        <f>K54*30.4*cost!K53</f>
        <v>2.1357851690042797</v>
      </c>
      <c r="AD54" s="21">
        <f>L54*30.4*cost!L53</f>
        <v>1.4823120827061562</v>
      </c>
      <c r="AE54" s="21">
        <f>M54*30.4*cost!M53</f>
        <v>3.1498372202957303</v>
      </c>
      <c r="AF54" s="21">
        <f>N54*30.4*cost!N53</f>
        <v>2.8758790251114368</v>
      </c>
      <c r="AG54" s="21">
        <f>O54*30.4*cost!O53</f>
        <v>1.9494254171113228</v>
      </c>
      <c r="AH54" s="21">
        <f>P54*30.4*cost!P53</f>
        <v>0</v>
      </c>
      <c r="AI54" s="21">
        <f>Q54*30.4*cost!Q53</f>
        <v>4.7717452351741816</v>
      </c>
      <c r="AJ54" s="21">
        <f>R54*30.4*cost!R53</f>
        <v>2.0258462480341874</v>
      </c>
      <c r="AK54" s="21">
        <f>S54*30.4*cost!S53</f>
        <v>1.5411097214315119</v>
      </c>
      <c r="AM54" s="112">
        <f>HLOOKUP(TFP!$C$14,'current consumption'!$C$5:$S$63,'current consumption'!$A52,FALSE)</f>
        <v>5.953392787405197E-2</v>
      </c>
      <c r="AN54" s="113">
        <f>$AM54*HLOOKUP(TFP!$C$14,cost!$C$6:$S$64,cost!$A53,FALSE)</f>
        <v>1.5135964368438601E-2</v>
      </c>
      <c r="AO54">
        <f t="shared" si="3"/>
        <v>0.46013331680053343</v>
      </c>
      <c r="AQ54" s="20">
        <f t="shared" si="4"/>
        <v>0.33786917975115643</v>
      </c>
    </row>
    <row r="55" spans="1:43" x14ac:dyDescent="0.2">
      <c r="A55" s="75">
        <v>51</v>
      </c>
      <c r="B55" s="2" t="s">
        <v>155</v>
      </c>
      <c r="C55" s="21">
        <v>1.7821305883834956E-3</v>
      </c>
      <c r="D55" s="21">
        <v>3.6554695168899689E-3</v>
      </c>
      <c r="E55" s="21">
        <v>7.8751258759475701E-4</v>
      </c>
      <c r="F55" s="21">
        <v>8.6410916376012479E-3</v>
      </c>
      <c r="G55" s="21">
        <v>3.1797637373403762E-3</v>
      </c>
      <c r="H55" s="21">
        <v>9.6572260167376097E-4</v>
      </c>
      <c r="I55" s="21">
        <v>4.1536180186400484E-7</v>
      </c>
      <c r="J55" s="21">
        <v>1.0070740243152403</v>
      </c>
      <c r="K55" s="21">
        <v>4.3591569183246498E-5</v>
      </c>
      <c r="L55" s="21">
        <v>3.770155226917582E-2</v>
      </c>
      <c r="M55" s="21">
        <v>3.8976389348921586E-3</v>
      </c>
      <c r="N55" s="21">
        <v>1.4761315666449154E-4</v>
      </c>
      <c r="O55" s="21">
        <v>3.4044872930013739E-3</v>
      </c>
      <c r="P55" s="21">
        <v>1.6603390543696603E-3</v>
      </c>
      <c r="Q55">
        <v>1.3579097870554718E-3</v>
      </c>
      <c r="R55" s="21">
        <v>4.2857171716600955E-3</v>
      </c>
      <c r="S55" s="21">
        <v>7.2011962800372468E-3</v>
      </c>
      <c r="T55" s="3"/>
      <c r="U55" s="21">
        <f>C55*30.4*cost!C54</f>
        <v>1.5121674992160827E-2</v>
      </c>
      <c r="V55" s="21">
        <f>D55*30.4*cost!D54</f>
        <v>5.3198053148118631E-2</v>
      </c>
      <c r="W55" s="21">
        <f>E55*30.4*cost!E54</f>
        <v>1.4365698288265069E-2</v>
      </c>
      <c r="X55" s="21">
        <f>F55*30.4*cost!F54</f>
        <v>0.11096128173849089</v>
      </c>
      <c r="Y55" s="21">
        <f>G55*30.4*cost!G54</f>
        <v>3.1263185645458998E-2</v>
      </c>
      <c r="Z55" s="21">
        <f>H55*30.4*cost!H54</f>
        <v>1.0298294539330191E-2</v>
      </c>
      <c r="AA55" s="21">
        <f>I55*30.4*cost!I54</f>
        <v>4.6528786904076299E-6</v>
      </c>
      <c r="AB55" s="21">
        <f>J55*30.4*cost!J54</f>
        <v>0</v>
      </c>
      <c r="AC55" s="21">
        <f>K55*30.4*cost!K54</f>
        <v>7.7778270512650946E-4</v>
      </c>
      <c r="AD55" s="21">
        <f>L55*30.4*cost!L54</f>
        <v>0.46841278053346197</v>
      </c>
      <c r="AE55" s="21">
        <f>M55*30.4*cost!M54</f>
        <v>4.2762009110985238E-2</v>
      </c>
      <c r="AF55" s="21">
        <f>N55*30.4*cost!N54</f>
        <v>1.4684476252048813E-3</v>
      </c>
      <c r="AG55" s="21">
        <f>O55*30.4*cost!O54</f>
        <v>3.8298343127426436E-2</v>
      </c>
      <c r="AH55" s="21">
        <f>P55*30.4*cost!P54</f>
        <v>0</v>
      </c>
      <c r="AI55" s="21">
        <f>Q55*30.4*cost!Q54</f>
        <v>1.3572683942584884E-2</v>
      </c>
      <c r="AJ55" s="21">
        <f>R55*30.4*cost!R54</f>
        <v>5.1050592973359302E-2</v>
      </c>
      <c r="AK55" s="21">
        <f>S55*30.4*cost!S54</f>
        <v>6.751902561034874E-2</v>
      </c>
      <c r="AM55" s="112">
        <f>HLOOKUP(TFP!$C$14,'current consumption'!$C$5:$S$63,'current consumption'!$A53,FALSE)</f>
        <v>0.16426931094480582</v>
      </c>
      <c r="AN55" s="113">
        <f>$AM55*HLOOKUP(TFP!$C$14,cost!$C$6:$S$64,cost!$A54,FALSE)</f>
        <v>5.4010434295441383E-2</v>
      </c>
      <c r="AO55">
        <f t="shared" si="3"/>
        <v>1.6419172025814179</v>
      </c>
      <c r="AQ55" s="20">
        <f t="shared" si="4"/>
        <v>1.2056358411794403</v>
      </c>
    </row>
    <row r="56" spans="1:43" x14ac:dyDescent="0.2">
      <c r="A56" s="75">
        <v>52</v>
      </c>
      <c r="B56" s="2" t="s">
        <v>48</v>
      </c>
      <c r="C56" s="21">
        <v>1.091084581672507</v>
      </c>
      <c r="D56" s="21">
        <v>0.19153128183149082</v>
      </c>
      <c r="E56" s="21">
        <v>0.46454455749294699</v>
      </c>
      <c r="F56" s="21">
        <v>2.0720664472519881E-3</v>
      </c>
      <c r="G56" s="21">
        <v>0.13916057055043757</v>
      </c>
      <c r="H56" s="21">
        <v>8.3130239210296386E-2</v>
      </c>
      <c r="I56" s="21">
        <v>1.0098656079880699</v>
      </c>
      <c r="J56" s="21">
        <v>0.7881635823696227</v>
      </c>
      <c r="K56" s="21">
        <v>0.52544238824641509</v>
      </c>
      <c r="L56" s="21">
        <v>0.59298141507067059</v>
      </c>
      <c r="M56" s="21">
        <v>0.33974369461943071</v>
      </c>
      <c r="N56" s="21">
        <v>2.4043367141800468E-5</v>
      </c>
      <c r="O56" s="21">
        <v>5.0199291741336062E-3</v>
      </c>
      <c r="P56" s="21">
        <v>0.10233068621945116</v>
      </c>
      <c r="Q56">
        <v>0.90046982114076057</v>
      </c>
      <c r="R56" s="21">
        <v>1.0777478646205507</v>
      </c>
      <c r="S56" s="21">
        <v>1.6006742596133956E-2</v>
      </c>
      <c r="T56" s="3"/>
      <c r="U56" s="21">
        <f>C56*30.4*cost!C55</f>
        <v>6.2511493470452342</v>
      </c>
      <c r="V56" s="21">
        <f>D56*30.4*cost!D55</f>
        <v>0.93648430993578025</v>
      </c>
      <c r="W56" s="21">
        <f>E56*30.4*cost!E55</f>
        <v>2.3480043792084135</v>
      </c>
      <c r="X56" s="21">
        <f>F56*30.4*cost!F55</f>
        <v>1.4601555721942765E-2</v>
      </c>
      <c r="Y56" s="21">
        <f>G56*30.4*cost!G55</f>
        <v>0.87096819931145564</v>
      </c>
      <c r="Z56" s="21">
        <f>H56*30.4*cost!H55</f>
        <v>0.68975674861082559</v>
      </c>
      <c r="AA56" s="21">
        <f>I56*30.4*cost!I55</f>
        <v>5.11678340710111</v>
      </c>
      <c r="AB56" s="21">
        <f>J56*30.4*cost!J55</f>
        <v>0</v>
      </c>
      <c r="AC56" s="21">
        <f>K56*30.4*cost!K55</f>
        <v>3.7087034745967644</v>
      </c>
      <c r="AD56" s="21">
        <f>L56*30.4*cost!L55</f>
        <v>4.7679549287432588</v>
      </c>
      <c r="AE56" s="21">
        <f>M56*30.4*cost!M55</f>
        <v>2.4315664109031738</v>
      </c>
      <c r="AF56" s="21">
        <f>N56*30.4*cost!N55</f>
        <v>1.631786482164395E-4</v>
      </c>
      <c r="AG56" s="21">
        <f>O56*30.4*cost!O55</f>
        <v>3.5550474503292059E-2</v>
      </c>
      <c r="AH56" s="21">
        <f>P56*30.4*cost!P55</f>
        <v>0</v>
      </c>
      <c r="AI56" s="21">
        <f>Q56*30.4*cost!Q55</f>
        <v>6.4277723426814175</v>
      </c>
      <c r="AJ56" s="21">
        <f>R56*30.4*cost!R55</f>
        <v>6.5557595062367273</v>
      </c>
      <c r="AK56" s="21">
        <f>S56*30.4*cost!S55</f>
        <v>0.11259334581868134</v>
      </c>
      <c r="AM56" s="112">
        <f>HLOOKUP(TFP!$C$14,'current consumption'!$C$5:$S$63,'current consumption'!$A54,FALSE)</f>
        <v>2.45025311620332E-2</v>
      </c>
      <c r="AN56" s="113">
        <f>$AM56*HLOOKUP(TFP!$C$14,cost!$C$6:$S$64,cost!$A55,FALSE)</f>
        <v>5.7534546071987495E-3</v>
      </c>
      <c r="AO56">
        <f t="shared" si="3"/>
        <v>0.17490502005884198</v>
      </c>
      <c r="AQ56" s="20">
        <f t="shared" si="4"/>
        <v>0.12843020382125042</v>
      </c>
    </row>
    <row r="57" spans="1:43" x14ac:dyDescent="0.2">
      <c r="A57" s="75">
        <v>53</v>
      </c>
      <c r="B57" s="3" t="s">
        <v>190</v>
      </c>
      <c r="C57" s="21">
        <v>1.5161011170935745E-2</v>
      </c>
      <c r="D57" s="21">
        <v>2.905128912661643E-2</v>
      </c>
      <c r="E57" s="21">
        <v>0.35030834227421681</v>
      </c>
      <c r="F57" s="21">
        <v>1.1473778904029943</v>
      </c>
      <c r="G57" s="21">
        <v>4.243903564980437E-2</v>
      </c>
      <c r="H57" s="21">
        <v>1.6641300123987839</v>
      </c>
      <c r="I57" s="21">
        <v>1.3414796960199508E-5</v>
      </c>
      <c r="J57" s="21">
        <v>4.1017697775210478E-2</v>
      </c>
      <c r="K57" s="21">
        <v>0.35778802279968785</v>
      </c>
      <c r="L57" s="21">
        <v>0.13137180018155811</v>
      </c>
      <c r="M57" s="21">
        <v>0.20352795475508612</v>
      </c>
      <c r="N57" s="21">
        <v>1.3021612298457359</v>
      </c>
      <c r="O57" s="21">
        <v>3.6189315729360134E-2</v>
      </c>
      <c r="P57" s="21">
        <v>0.3476950043823776</v>
      </c>
      <c r="Q57">
        <v>1.8926348527123073E-2</v>
      </c>
      <c r="R57" s="21">
        <v>9.6673747147861047E-3</v>
      </c>
      <c r="S57" s="21">
        <v>3.1129699065658545E-2</v>
      </c>
      <c r="T57" s="3"/>
      <c r="U57" s="21">
        <f>C57*30.4*cost!C56</f>
        <v>0.14085498753355039</v>
      </c>
      <c r="V57" s="21">
        <f>D57*30.4*cost!D56</f>
        <v>0.21989705098161827</v>
      </c>
      <c r="W57" s="21">
        <f>E57*30.4*cost!E56</f>
        <v>3.3359513096870614</v>
      </c>
      <c r="X57" s="21">
        <f>F57*30.4*cost!F56</f>
        <v>10.801183804168534</v>
      </c>
      <c r="Y57" s="21">
        <f>G57*30.4*cost!G56</f>
        <v>0.49561913345918973</v>
      </c>
      <c r="Z57" s="21">
        <f>H57*30.4*cost!H56</f>
        <v>13.701475010238632</v>
      </c>
      <c r="AA57" s="21">
        <f>I57*30.4*cost!I56</f>
        <v>1.3776588630348314E-4</v>
      </c>
      <c r="AB57" s="21">
        <f>J57*30.4*cost!J56</f>
        <v>0</v>
      </c>
      <c r="AC57" s="21">
        <f>K57*30.4*cost!K56</f>
        <v>4.1160972666370901</v>
      </c>
      <c r="AD57" s="21">
        <f>L57*30.4*cost!L56</f>
        <v>1.2834936031244752</v>
      </c>
      <c r="AE57" s="21">
        <f>M57*30.4*cost!M56</f>
        <v>1.5873055363512856</v>
      </c>
      <c r="AF57" s="21">
        <f>N57*30.4*cost!N56</f>
        <v>9.1653728075198764</v>
      </c>
      <c r="AG57" s="21">
        <f>O57*30.4*cost!O56</f>
        <v>0.36856480499221494</v>
      </c>
      <c r="AH57" s="21">
        <f>P57*30.4*cost!P56</f>
        <v>0</v>
      </c>
      <c r="AI57" s="21">
        <f>Q57*30.4*cost!Q56</f>
        <v>0.18860345304719894</v>
      </c>
      <c r="AJ57" s="21">
        <f>R57*30.4*cost!R56</f>
        <v>0.10340547017641534</v>
      </c>
      <c r="AK57" s="21">
        <f>S57*30.4*cost!S56</f>
        <v>0.31756674630451631</v>
      </c>
      <c r="AM57" s="112">
        <f>HLOOKUP(TFP!$C$14,'current consumption'!$C$5:$S$63,'current consumption'!$A55,FALSE)</f>
        <v>0.26920522616560666</v>
      </c>
      <c r="AN57" s="113">
        <f>$AM57*HLOOKUP(TFP!$C$14,cost!$C$6:$S$64,cost!$A56,FALSE)</f>
        <v>8.824552872822182E-2</v>
      </c>
      <c r="AO57">
        <f t="shared" si="3"/>
        <v>2.6826640733379432</v>
      </c>
      <c r="AQ57" s="20">
        <f t="shared" si="4"/>
        <v>1.969841080643818</v>
      </c>
    </row>
    <row r="58" spans="1:43" x14ac:dyDescent="0.2">
      <c r="A58" s="75">
        <v>54</v>
      </c>
      <c r="B58" s="3" t="s">
        <v>191</v>
      </c>
      <c r="C58" s="21">
        <v>1.7063213676766953</v>
      </c>
      <c r="D58" s="21">
        <v>0.5901695133347532</v>
      </c>
      <c r="E58" s="21">
        <v>4.2586137398321441E-2</v>
      </c>
      <c r="F58" s="21">
        <v>9.2944245346304518E-3</v>
      </c>
      <c r="G58" s="21">
        <v>0.33906399526615655</v>
      </c>
      <c r="H58" s="21">
        <v>2.3128724117708298E-3</v>
      </c>
      <c r="I58" s="21">
        <v>4.0970445525166788E-6</v>
      </c>
      <c r="J58" s="21">
        <v>8.18042075190411E-5</v>
      </c>
      <c r="K58" s="21">
        <v>3.238487133466457E-4</v>
      </c>
      <c r="L58" s="21">
        <v>0.37959327009405991</v>
      </c>
      <c r="M58" s="21">
        <v>0.83569217031824339</v>
      </c>
      <c r="N58" s="21">
        <v>1.5882547934178615E-4</v>
      </c>
      <c r="O58" s="21">
        <v>0.51099751743617861</v>
      </c>
      <c r="P58" s="21">
        <v>0.42079280833439947</v>
      </c>
      <c r="Q58">
        <v>1.160753243873011E-2</v>
      </c>
      <c r="R58" s="21">
        <v>8.0819844296353451E-3</v>
      </c>
      <c r="S58" s="21">
        <v>0.54708891536729343</v>
      </c>
      <c r="T58" s="3"/>
      <c r="U58" s="21">
        <f>C58*30.4*cost!C57</f>
        <v>22.034644980212846</v>
      </c>
      <c r="V58" s="21">
        <f>D58*30.4*cost!D57</f>
        <v>7.5778595648245011</v>
      </c>
      <c r="W58" s="21">
        <f>E58*30.4*cost!E57</f>
        <v>0.47699639179748382</v>
      </c>
      <c r="X58" s="21">
        <f>F58*30.4*cost!F57</f>
        <v>0.11073952150075231</v>
      </c>
      <c r="Y58" s="21">
        <f>G58*30.4*cost!G57</f>
        <v>3.9438930031215644</v>
      </c>
      <c r="Z58" s="21">
        <f>H58*30.4*cost!H57</f>
        <v>2.7974938075463762E-2</v>
      </c>
      <c r="AA58" s="21">
        <f>I58*30.4*cost!I57</f>
        <v>4.7998272775798846E-5</v>
      </c>
      <c r="AB58" s="21">
        <f>J58*30.4*cost!J57</f>
        <v>0</v>
      </c>
      <c r="AC58" s="21">
        <f>K58*30.4*cost!K57</f>
        <v>4.0147198873714939E-3</v>
      </c>
      <c r="AD58" s="21">
        <f>L58*30.4*cost!L57</f>
        <v>3.6005463553794135</v>
      </c>
      <c r="AE58" s="21">
        <f>M58*30.4*cost!M57</f>
        <v>8.239788235569689</v>
      </c>
      <c r="AF58" s="21">
        <f>N58*30.4*cost!N57</f>
        <v>1.622878158611913E-3</v>
      </c>
      <c r="AG58" s="21">
        <f>O58*30.4*cost!O57</f>
        <v>4.401034086047253</v>
      </c>
      <c r="AH58" s="21">
        <f>P58*30.4*cost!P57</f>
        <v>0</v>
      </c>
      <c r="AI58" s="21">
        <f>Q58*30.4*cost!Q57</f>
        <v>0.13378488239579986</v>
      </c>
      <c r="AJ58" s="21">
        <f>R58*30.4*cost!R57</f>
        <v>8.1730512281354514E-2</v>
      </c>
      <c r="AK58" s="21">
        <f>S58*30.4*cost!S57</f>
        <v>6.4080018899202926</v>
      </c>
      <c r="AM58" s="112">
        <f>HLOOKUP(TFP!$C$14,'current consumption'!$C$5:$S$63,'current consumption'!$A56,FALSE)</f>
        <v>0.13458445921805592</v>
      </c>
      <c r="AN58" s="113">
        <f>$AM58*HLOOKUP(TFP!$C$14,cost!$C$6:$S$64,cost!$A57,FALSE)</f>
        <v>5.102564055255128E-2</v>
      </c>
      <c r="AO58">
        <f t="shared" si="3"/>
        <v>1.5511794727975587</v>
      </c>
      <c r="AQ58" s="20">
        <f t="shared" si="4"/>
        <v>1.1390084503446998</v>
      </c>
    </row>
    <row r="59" spans="1:43" x14ac:dyDescent="0.2">
      <c r="A59" s="75">
        <v>55</v>
      </c>
      <c r="B59" s="2" t="s">
        <v>422</v>
      </c>
      <c r="C59" s="21">
        <v>0.14441109462767787</v>
      </c>
      <c r="D59" s="21">
        <v>0.4611501621143782</v>
      </c>
      <c r="E59" s="21">
        <v>1.916521029960871E-3</v>
      </c>
      <c r="F59" s="21">
        <v>1.1141565607197966E-2</v>
      </c>
      <c r="G59" s="21">
        <v>0.90902390476287609</v>
      </c>
      <c r="H59" s="21">
        <v>1.3575835253925903E-2</v>
      </c>
      <c r="I59" s="21">
        <v>1.0543330188635203</v>
      </c>
      <c r="J59" s="21">
        <v>0.13667785194794754</v>
      </c>
      <c r="K59" s="21">
        <v>0.71800527226517508</v>
      </c>
      <c r="L59" s="21">
        <v>0.8976308156818521</v>
      </c>
      <c r="M59" s="21">
        <v>0.33677844376182298</v>
      </c>
      <c r="N59" s="21">
        <v>0.38154003398680064</v>
      </c>
      <c r="O59" s="21">
        <v>1.3779680155911977</v>
      </c>
      <c r="P59" s="21">
        <v>0.27640956562524938</v>
      </c>
      <c r="Q59">
        <v>0.59019085414000427</v>
      </c>
      <c r="R59" s="21">
        <v>1.4524812971273249</v>
      </c>
      <c r="S59" s="21">
        <v>1.1813749903069559</v>
      </c>
      <c r="T59" s="3"/>
      <c r="U59" s="21">
        <f>C59*30.4*cost!C58</f>
        <v>1.971722942083725</v>
      </c>
      <c r="V59" s="21">
        <f>D59*30.4*cost!D58</f>
        <v>3.297524590303285</v>
      </c>
      <c r="W59" s="21">
        <f>E59*30.4*cost!E58</f>
        <v>2.0360593782054029E-2</v>
      </c>
      <c r="X59" s="21">
        <f>F59*30.4*cost!F58</f>
        <v>0.12081770979592976</v>
      </c>
      <c r="Y59" s="21">
        <f>G59*30.4*cost!G58</f>
        <v>9.8460535175524981</v>
      </c>
      <c r="Z59" s="21">
        <f>H59*30.4*cost!H58</f>
        <v>0.12286714020221738</v>
      </c>
      <c r="AA59" s="21">
        <f>I59*30.4*cost!I58</f>
        <v>10.120001758342404</v>
      </c>
      <c r="AB59" s="21">
        <f>J59*30.4*cost!J58</f>
        <v>0</v>
      </c>
      <c r="AC59" s="21">
        <f>K59*30.4*cost!K58</f>
        <v>8.9896109606801566</v>
      </c>
      <c r="AD59" s="21">
        <f>L59*30.4*cost!L58</f>
        <v>9.5319208771787931</v>
      </c>
      <c r="AE59" s="21">
        <f>M59*30.4*cost!M58</f>
        <v>5.660700816370456</v>
      </c>
      <c r="AF59" s="21">
        <f>N59*30.4*cost!N58</f>
        <v>4.0268766504175852</v>
      </c>
      <c r="AG59" s="21">
        <f>O59*30.4*cost!O58</f>
        <v>20.740753002827908</v>
      </c>
      <c r="AH59" s="21">
        <f>P59*30.4*cost!P58</f>
        <v>0</v>
      </c>
      <c r="AI59" s="21">
        <f>Q59*30.4*cost!Q58</f>
        <v>6.5953371115302462</v>
      </c>
      <c r="AJ59" s="21">
        <f>R59*30.4*cost!R58</f>
        <v>10.285438904116534</v>
      </c>
      <c r="AK59" s="21">
        <f>S59*30.4*cost!S58</f>
        <v>10.175412034226039</v>
      </c>
      <c r="AM59" s="112">
        <f>HLOOKUP(TFP!$C$14,'current consumption'!$C$5:$S$63,'current consumption'!$A57,FALSE)</f>
        <v>3.9789558196868892E-2</v>
      </c>
      <c r="AN59" s="113">
        <f>$AM59*HLOOKUP(TFP!$C$14,cost!$C$6:$S$64,cost!$A58,FALSE)</f>
        <v>1.462648792616298E-2</v>
      </c>
      <c r="AO59">
        <f t="shared" si="3"/>
        <v>0.44464523295535457</v>
      </c>
      <c r="AQ59" s="20">
        <f t="shared" si="4"/>
        <v>0.3264965058029316</v>
      </c>
    </row>
    <row r="60" spans="1:43" x14ac:dyDescent="0.2">
      <c r="A60" s="75">
        <v>56</v>
      </c>
      <c r="B60" s="3" t="s">
        <v>192</v>
      </c>
      <c r="C60" s="21">
        <v>2.0429038094298899E-3</v>
      </c>
      <c r="D60" s="21">
        <v>2.9190072977486521E-3</v>
      </c>
      <c r="E60" s="21">
        <v>0.12949563376469475</v>
      </c>
      <c r="F60" s="21">
        <v>0.59689826018822356</v>
      </c>
      <c r="G60" s="21">
        <v>0.43913098294966674</v>
      </c>
      <c r="H60" s="21">
        <v>0.22649870815137796</v>
      </c>
      <c r="I60" s="21">
        <v>2.1023115429123421E-6</v>
      </c>
      <c r="J60" s="21">
        <v>2.5776129796880507E-5</v>
      </c>
      <c r="K60" s="21">
        <v>5.8610020039215611E-5</v>
      </c>
      <c r="L60" s="21">
        <v>1.2879011317391913E-3</v>
      </c>
      <c r="M60" s="21">
        <v>2.9992206565371195E-4</v>
      </c>
      <c r="N60" s="21">
        <v>3.069450433173096E-5</v>
      </c>
      <c r="O60" s="21">
        <v>1.0896896134197459E-4</v>
      </c>
      <c r="P60" s="21">
        <v>1.2705711045902464</v>
      </c>
      <c r="Q60">
        <v>0.2008076886737101</v>
      </c>
      <c r="R60" s="21">
        <v>1.4550033682551936E-3</v>
      </c>
      <c r="S60" s="21">
        <v>0.3330386406499623</v>
      </c>
      <c r="T60" s="3"/>
      <c r="U60" s="21">
        <f>C60*30.4*cost!C59</f>
        <v>2.589542925818537E-2</v>
      </c>
      <c r="V60" s="21">
        <f>D60*30.4*cost!D59</f>
        <v>2.2835391108044778E-2</v>
      </c>
      <c r="W60" s="21">
        <f>E60*30.4*cost!E59</f>
        <v>1.3898935651527053</v>
      </c>
      <c r="X60" s="21">
        <f>F60*30.4*cost!F59</f>
        <v>6.017581267019608</v>
      </c>
      <c r="Y60" s="21">
        <f>G60*30.4*cost!G59</f>
        <v>4.203077502891138</v>
      </c>
      <c r="Z60" s="21">
        <f>H60*30.4*cost!H59</f>
        <v>2.3384018343253206</v>
      </c>
      <c r="AA60" s="21">
        <f>I60*30.4*cost!I59</f>
        <v>2.1797488172564684E-5</v>
      </c>
      <c r="AB60" s="21">
        <f>J60*30.4*cost!J59</f>
        <v>0</v>
      </c>
      <c r="AC60" s="21">
        <f>K60*30.4*cost!K59</f>
        <v>5.7425640297587997E-4</v>
      </c>
      <c r="AD60" s="21">
        <f>L60*30.4*cost!L59</f>
        <v>1.8377647349424663E-2</v>
      </c>
      <c r="AE60" s="21">
        <f>M60*30.4*cost!M59</f>
        <v>4.6974342782530763E-3</v>
      </c>
      <c r="AF60" s="21">
        <f>N60*30.4*cost!N59</f>
        <v>2.9056380567878039E-4</v>
      </c>
      <c r="AG60" s="21">
        <f>O60*30.4*cost!O59</f>
        <v>1.2494696617461741E-3</v>
      </c>
      <c r="AH60" s="21">
        <f>P60*30.4*cost!P59</f>
        <v>0</v>
      </c>
      <c r="AI60" s="21">
        <f>Q60*30.4*cost!Q59</f>
        <v>2.2972494364316409</v>
      </c>
      <c r="AJ60" s="21">
        <f>R60*30.4*cost!R59</f>
        <v>1.2925234938501241E-2</v>
      </c>
      <c r="AK60" s="21">
        <f>S60*30.4*cost!S59</f>
        <v>2.6624139539374569</v>
      </c>
      <c r="AM60" s="112">
        <f>HLOOKUP(TFP!$C$14,'current consumption'!$C$5:$S$63,'current consumption'!$A58,FALSE)</f>
        <v>8.7060675321966083E-2</v>
      </c>
      <c r="AN60" s="113">
        <f>$AM60*HLOOKUP(TFP!$C$14,cost!$C$6:$S$64,cost!$A59,FALSE)</f>
        <v>3.2762441937361442E-2</v>
      </c>
      <c r="AO60">
        <f t="shared" si="3"/>
        <v>0.99597823489578774</v>
      </c>
      <c r="AQ60" s="20">
        <f t="shared" si="4"/>
        <v>0.73133228346540435</v>
      </c>
    </row>
    <row r="61" spans="1:43" x14ac:dyDescent="0.2">
      <c r="A61" s="75">
        <v>57</v>
      </c>
      <c r="B61" s="2" t="s">
        <v>49</v>
      </c>
      <c r="C61" s="21">
        <v>0.57228358601964624</v>
      </c>
      <c r="D61" s="21">
        <v>5.2800611129504181E-3</v>
      </c>
      <c r="E61" s="21">
        <v>0.65963732333514535</v>
      </c>
      <c r="F61" s="21">
        <v>0.33318568680209004</v>
      </c>
      <c r="G61" s="21">
        <v>0.52075182570319323</v>
      </c>
      <c r="H61" s="21">
        <v>0.21368048290524197</v>
      </c>
      <c r="I61" s="21">
        <v>1.2554081622892572</v>
      </c>
      <c r="J61" s="21">
        <v>0.72819332288111083</v>
      </c>
      <c r="K61" s="21">
        <v>1.2688654123405261</v>
      </c>
      <c r="L61" s="21">
        <v>0.40916307509719957</v>
      </c>
      <c r="M61" s="21">
        <v>0.34007600355928624</v>
      </c>
      <c r="N61" s="21">
        <v>0.68311611724106802</v>
      </c>
      <c r="O61" s="21">
        <v>0.19924382538534233</v>
      </c>
      <c r="P61" s="21">
        <v>0.72292463677045904</v>
      </c>
      <c r="Q61">
        <v>0.60393392672910851</v>
      </c>
      <c r="R61" s="21">
        <v>6.1505506653900194E-3</v>
      </c>
      <c r="S61" s="21">
        <v>5.7485858500901203E-3</v>
      </c>
      <c r="T61" s="3"/>
      <c r="U61" s="21">
        <f>C61*30.4*cost!C60</f>
        <v>3.9596586521542561</v>
      </c>
      <c r="V61" s="21">
        <f>D61*30.4*cost!D60</f>
        <v>4.269979353648428E-2</v>
      </c>
      <c r="W61" s="21">
        <f>E61*30.4*cost!E60</f>
        <v>5.7283304399023933</v>
      </c>
      <c r="X61" s="21">
        <f>F61*30.4*cost!F60</f>
        <v>2.8930716287877933</v>
      </c>
      <c r="Y61" s="21">
        <f>G61*30.4*cost!G60</f>
        <v>4.4472284618775166</v>
      </c>
      <c r="Z61" s="21">
        <f>H61*30.4*cost!H60</f>
        <v>2.3310442007142327</v>
      </c>
      <c r="AA61" s="21">
        <f>I61*30.4*cost!I60</f>
        <v>11.823845509922572</v>
      </c>
      <c r="AB61" s="21">
        <f>J61*30.4*cost!J60</f>
        <v>0</v>
      </c>
      <c r="AC61" s="21">
        <f>K61*30.4*cost!K60</f>
        <v>14.489993182427128</v>
      </c>
      <c r="AD61" s="21">
        <f>L61*30.4*cost!L60</f>
        <v>4.013909758660418</v>
      </c>
      <c r="AE61" s="21">
        <f>M61*30.4*cost!M60</f>
        <v>3.1092951658740269</v>
      </c>
      <c r="AF61" s="21">
        <f>N61*30.4*cost!N60</f>
        <v>6.3999637048048923</v>
      </c>
      <c r="AG61" s="21">
        <f>O61*30.4*cost!O60</f>
        <v>2.127552212117203</v>
      </c>
      <c r="AH61" s="21">
        <f>P61*30.4*cost!P60</f>
        <v>0</v>
      </c>
      <c r="AI61" s="21">
        <f>Q61*30.4*cost!Q60</f>
        <v>6.0758197095641462</v>
      </c>
      <c r="AJ61" s="21">
        <f>R61*30.4*cost!R60</f>
        <v>6.9526615973330735E-2</v>
      </c>
      <c r="AK61" s="21">
        <f>S61*30.4*cost!S60</f>
        <v>6.6422674199747692E-2</v>
      </c>
      <c r="AM61" s="112">
        <f>HLOOKUP(TFP!$C$14,'current consumption'!$C$5:$S$63,'current consumption'!$A59,FALSE)</f>
        <v>0.26525269620945635</v>
      </c>
      <c r="AN61" s="113">
        <f>$AM61*HLOOKUP(TFP!$C$14,cost!$C$6:$S$64,cost!$A60,FALSE)</f>
        <v>8.7781232541631241E-2</v>
      </c>
      <c r="AO61">
        <f t="shared" si="3"/>
        <v>2.6685494692655896</v>
      </c>
      <c r="AQ61" s="20">
        <f t="shared" si="4"/>
        <v>1.959476932849439</v>
      </c>
    </row>
    <row r="62" spans="1:43" x14ac:dyDescent="0.2">
      <c r="A62" s="75">
        <v>58</v>
      </c>
      <c r="B62" s="2" t="s">
        <v>50</v>
      </c>
      <c r="C62" s="21">
        <v>2.0973481527093395E-4</v>
      </c>
      <c r="D62" s="21">
        <v>4.7811177297036396E-4</v>
      </c>
      <c r="E62" s="21">
        <v>4.0058577433838466E-4</v>
      </c>
      <c r="F62" s="21">
        <v>1.4210653305951858E-2</v>
      </c>
      <c r="G62" s="21">
        <v>3.7630173249715024E-3</v>
      </c>
      <c r="H62" s="21">
        <v>4.2716323909479537E-3</v>
      </c>
      <c r="I62" s="21">
        <v>3.036485580232842E-5</v>
      </c>
      <c r="J62" s="21">
        <v>3.6329200751375988E-4</v>
      </c>
      <c r="K62" s="21">
        <v>0.46240475107571666</v>
      </c>
      <c r="L62" s="21">
        <v>0.78969322002126119</v>
      </c>
      <c r="M62" s="21">
        <v>0.63353002506370271</v>
      </c>
      <c r="N62" s="21">
        <v>6.8250699674577743E-4</v>
      </c>
      <c r="O62" s="21">
        <v>1.4003692111298512E-2</v>
      </c>
      <c r="P62" s="21">
        <v>6.8629912348560449E-3</v>
      </c>
      <c r="Q62">
        <v>0.43786319804024887</v>
      </c>
      <c r="R62" s="21">
        <v>0.76262501044090791</v>
      </c>
      <c r="S62" s="21">
        <v>0.71921260878567539</v>
      </c>
      <c r="T62" s="3"/>
      <c r="U62" s="21">
        <f>C62*30.4*cost!C61</f>
        <v>1.88321887151237E-4</v>
      </c>
      <c r="V62" s="21">
        <f>D62*30.4*cost!D61</f>
        <v>4.0637315507386436E-4</v>
      </c>
      <c r="W62" s="21">
        <f>E62*30.4*cost!E61</f>
        <v>3.0918152126216137E-4</v>
      </c>
      <c r="X62" s="21">
        <f>F62*30.4*cost!F61</f>
        <v>1.3196724513743431E-2</v>
      </c>
      <c r="Y62" s="21">
        <f>G62*30.4*cost!G61</f>
        <v>8.4858646103708642E-3</v>
      </c>
      <c r="Z62" s="21">
        <f>H62*30.4*cost!H61</f>
        <v>4.3020264116791392E-3</v>
      </c>
      <c r="AA62" s="21">
        <f>I62*30.4*cost!I61</f>
        <v>3.2303592575741181E-5</v>
      </c>
      <c r="AB62" s="21">
        <f>J62*30.4*cost!J61</f>
        <v>0</v>
      </c>
      <c r="AC62" s="21">
        <f>K62*30.4*cost!K61</f>
        <v>0.40723227413121443</v>
      </c>
      <c r="AD62" s="21">
        <f>L62*30.4*cost!L61</f>
        <v>0.60668093651220123</v>
      </c>
      <c r="AE62" s="21">
        <f>M62*30.4*cost!M61</f>
        <v>0.57599683455337536</v>
      </c>
      <c r="AF62" s="21">
        <f>N62*30.4*cost!N61</f>
        <v>7.9827399711154888E-4</v>
      </c>
      <c r="AG62" s="21">
        <f>O62*30.4*cost!O61</f>
        <v>1.1485199665848165E-2</v>
      </c>
      <c r="AH62" s="21">
        <f>P62*30.4*cost!P61</f>
        <v>0</v>
      </c>
      <c r="AI62" s="21">
        <f>Q62*30.4*cost!Q61</f>
        <v>0.76123885178113659</v>
      </c>
      <c r="AJ62" s="21">
        <f>R62*30.4*cost!R61</f>
        <v>0.66749307655950263</v>
      </c>
      <c r="AK62" s="21">
        <f>S62*30.4*cost!S61</f>
        <v>0.58575479646538009</v>
      </c>
      <c r="AM62" s="112">
        <f>HLOOKUP(TFP!$C$14,'current consumption'!$C$5:$S$63,'current consumption'!$A60,FALSE)</f>
        <v>4.170125695621417</v>
      </c>
      <c r="AN62" s="113">
        <f>$AM62*HLOOKUP(TFP!$C$14,cost!$C$6:$S$64,cost!$A61,FALSE)</f>
        <v>0.23848334955549388</v>
      </c>
      <c r="AO62">
        <f t="shared" si="3"/>
        <v>7.2498938264870141</v>
      </c>
      <c r="AQ62" s="20">
        <f t="shared" si="4"/>
        <v>5.3234912383012656</v>
      </c>
    </row>
    <row r="63" spans="1:43" x14ac:dyDescent="0.2">
      <c r="A63" s="75">
        <v>59</v>
      </c>
      <c r="B63" s="2" t="s">
        <v>51</v>
      </c>
      <c r="C63" s="21">
        <v>1.9085253249669198E-2</v>
      </c>
      <c r="D63" s="21">
        <v>2.7493010053438509E-2</v>
      </c>
      <c r="E63" s="21">
        <v>7.8065100560456369E-3</v>
      </c>
      <c r="F63" s="21">
        <v>0.10177634169579142</v>
      </c>
      <c r="G63" s="21">
        <v>1.3943615891344055E-2</v>
      </c>
      <c r="H63" s="21">
        <v>1.6111954801623741E-2</v>
      </c>
      <c r="I63" s="21">
        <v>1.9337937067357067E-4</v>
      </c>
      <c r="J63" s="21">
        <v>5.0061459763765283E-3</v>
      </c>
      <c r="K63" s="21">
        <v>2.0773082747107402E-3</v>
      </c>
      <c r="L63" s="21">
        <v>0.15847378636244075</v>
      </c>
      <c r="M63" s="21">
        <v>6.8868936859467064E-3</v>
      </c>
      <c r="N63" s="21">
        <v>1.9899673109121546E-3</v>
      </c>
      <c r="O63" s="21">
        <v>6.8046474932911133E-2</v>
      </c>
      <c r="P63" s="21">
        <v>4.6043049244585792E-2</v>
      </c>
      <c r="Q63">
        <v>5.5341988154584444E-3</v>
      </c>
      <c r="R63" s="21">
        <v>1.5130011432257529E-2</v>
      </c>
      <c r="S63" s="21">
        <v>3.0530847302781762E-3</v>
      </c>
      <c r="T63" s="3"/>
      <c r="U63" s="21">
        <f>C63*30.4*cost!C62</f>
        <v>6.4404624110787664E-2</v>
      </c>
      <c r="V63" s="21">
        <f>D63*30.4*cost!D62</f>
        <v>9.5176132344660658E-2</v>
      </c>
      <c r="W63" s="21">
        <f>E63*30.4*cost!E62</f>
        <v>2.4984413806497453E-2</v>
      </c>
      <c r="X63" s="21">
        <f>F63*30.4*cost!F62</f>
        <v>0.34591586921236828</v>
      </c>
      <c r="Y63" s="21">
        <f>G63*30.4*cost!G62</f>
        <v>4.5627375029935899E-2</v>
      </c>
      <c r="Z63" s="21">
        <f>H63*30.4*cost!H62</f>
        <v>4.5840432332528928E-2</v>
      </c>
      <c r="AA63" s="21">
        <f>I63*30.4*cost!I62</f>
        <v>6.1177129800347215E-4</v>
      </c>
      <c r="AB63" s="21">
        <f>J63*30.4*cost!J62</f>
        <v>0</v>
      </c>
      <c r="AC63" s="21">
        <f>K63*30.4*cost!K62</f>
        <v>6.5508468458708776E-3</v>
      </c>
      <c r="AD63" s="21">
        <f>L63*30.4*cost!L62</f>
        <v>0.4354094307211413</v>
      </c>
      <c r="AE63" s="21">
        <f>M63*30.4*cost!M62</f>
        <v>2.0456369042488907E-2</v>
      </c>
      <c r="AF63" s="21">
        <f>N63*30.4*cost!N62</f>
        <v>6.3787112828109201E-3</v>
      </c>
      <c r="AG63" s="21">
        <f>O63*30.4*cost!O62</f>
        <v>0.192135258843291</v>
      </c>
      <c r="AH63" s="21">
        <f>P63*30.4*cost!P62</f>
        <v>0</v>
      </c>
      <c r="AI63" s="21">
        <f>Q63*30.4*cost!Q62</f>
        <v>1.6225112079566048E-2</v>
      </c>
      <c r="AJ63" s="21">
        <f>R63*30.4*cost!R62</f>
        <v>4.5146892341692384E-2</v>
      </c>
      <c r="AK63" s="21">
        <f>S63*30.4*cost!S62</f>
        <v>8.2825118976707357E-3</v>
      </c>
      <c r="AM63" s="112">
        <f>HLOOKUP(TFP!$C$14,'current consumption'!$C$5:$S$63,'current consumption'!$A61,FALSE)</f>
        <v>6.6935817642030022</v>
      </c>
      <c r="AN63" s="113">
        <f>$AM63*HLOOKUP(TFP!$C$14,cost!$C$6:$S$64,cost!$A62,FALSE)</f>
        <v>0.64553224057243797</v>
      </c>
      <c r="AO63">
        <f t="shared" si="3"/>
        <v>19.624180113402112</v>
      </c>
      <c r="AQ63" s="20">
        <f t="shared" si="4"/>
        <v>14.409749079479047</v>
      </c>
    </row>
    <row r="64" spans="1:43" x14ac:dyDescent="0.2">
      <c r="A64" s="75">
        <v>60</v>
      </c>
      <c r="B64" s="3" t="s">
        <v>193</v>
      </c>
      <c r="C64" s="21">
        <v>1.0654063042301688E-2</v>
      </c>
      <c r="D64" s="21">
        <v>7.4746691475773095E-3</v>
      </c>
      <c r="E64" s="21">
        <v>1.5469133019551488E-3</v>
      </c>
      <c r="F64" s="21">
        <v>1.8082546188881176E-2</v>
      </c>
      <c r="G64" s="21">
        <v>3.6954086191631564E-3</v>
      </c>
      <c r="H64" s="21">
        <v>5.6584856820909692E-3</v>
      </c>
      <c r="I64" s="21">
        <v>1.2304058862006179E-5</v>
      </c>
      <c r="J64" s="21">
        <v>5.0450157588255971E-4</v>
      </c>
      <c r="K64" s="21">
        <v>2.3689901264328664E-4</v>
      </c>
      <c r="L64" s="21">
        <v>9.9362067418310898E-2</v>
      </c>
      <c r="M64" s="21">
        <v>3.6041063010390641E-3</v>
      </c>
      <c r="N64" s="21">
        <v>2.0021516062735666E-4</v>
      </c>
      <c r="O64" s="21">
        <v>1.2537853746586013E-2</v>
      </c>
      <c r="P64" s="21">
        <v>9.152108600459374E-3</v>
      </c>
      <c r="Q64">
        <v>4.3161451579234143E-3</v>
      </c>
      <c r="R64" s="21">
        <v>2.4918853485048045E-2</v>
      </c>
      <c r="S64" s="21">
        <v>6.3260844871740329E-3</v>
      </c>
      <c r="T64" s="3"/>
      <c r="U64" s="21">
        <f>C64*30.4*cost!C63</f>
        <v>4.3741362134872806E-2</v>
      </c>
      <c r="V64" s="21">
        <f>D64*30.4*cost!D63</f>
        <v>2.125844093817866E-2</v>
      </c>
      <c r="W64" s="21">
        <f>E64*30.4*cost!E63</f>
        <v>3.9904815682485426E-3</v>
      </c>
      <c r="X64" s="21">
        <f>F64*30.4*cost!F63</f>
        <v>3.2159535704079159E-2</v>
      </c>
      <c r="Y64" s="21">
        <f>G64*30.4*cost!G63</f>
        <v>8.8783462912755337E-3</v>
      </c>
      <c r="Z64" s="21">
        <f>H64*30.4*cost!H63</f>
        <v>1.4998066714502229E-2</v>
      </c>
      <c r="AA64" s="21">
        <f>I64*30.4*cost!I63</f>
        <v>2.9887279528572378E-5</v>
      </c>
      <c r="AB64" s="21">
        <f>J64*30.4*cost!J63</f>
        <v>0</v>
      </c>
      <c r="AC64" s="21">
        <f>K64*30.4*cost!K63</f>
        <v>8.2490082148965966E-4</v>
      </c>
      <c r="AD64" s="21">
        <f>L64*30.4*cost!L63</f>
        <v>0.52911867628578979</v>
      </c>
      <c r="AE64" s="21">
        <f>M64*30.4*cost!M63</f>
        <v>2.1503557901729718E-2</v>
      </c>
      <c r="AF64" s="21">
        <f>N64*30.4*cost!N63</f>
        <v>5.7030252086280825E-4</v>
      </c>
      <c r="AG64" s="21">
        <f>O64*30.4*cost!O63</f>
        <v>3.275010070569627E-2</v>
      </c>
      <c r="AH64" s="21">
        <f>P64*30.4*cost!P63</f>
        <v>0</v>
      </c>
      <c r="AI64" s="21">
        <f>Q64*30.4*cost!Q63</f>
        <v>1.1982548878847473E-2</v>
      </c>
      <c r="AJ64" s="21">
        <f>R64*30.4*cost!R63</f>
        <v>6.3091346400354326E-2</v>
      </c>
      <c r="AK64" s="21">
        <f>S64*30.4*cost!S63</f>
        <v>1.4552336996965537E-2</v>
      </c>
      <c r="AM64" s="112">
        <f>HLOOKUP(TFP!$C$14,'current consumption'!$C$5:$S$63,'current consumption'!$A62,FALSE)</f>
        <v>1.2011169707284224</v>
      </c>
      <c r="AN64" s="113">
        <f>$AM64*HLOOKUP(TFP!$C$14,cost!$C$6:$S$64,cost!$A63,FALSE)</f>
        <v>0.1096894570176072</v>
      </c>
      <c r="AO64">
        <f t="shared" si="3"/>
        <v>3.3345594933352585</v>
      </c>
      <c r="AQ64" s="20">
        <f t="shared" si="4"/>
        <v>2.4485183743671688</v>
      </c>
    </row>
    <row r="65" spans="1:46" x14ac:dyDescent="0.2">
      <c r="A65" s="75">
        <v>61</v>
      </c>
      <c r="B65" s="2" t="s">
        <v>326</v>
      </c>
      <c r="C65" s="21">
        <v>2.2990568568288273E-3</v>
      </c>
      <c r="D65" s="21">
        <v>2.8045180759659035E-3</v>
      </c>
      <c r="E65" s="21">
        <v>6.7242731267308585E-4</v>
      </c>
      <c r="F65" s="21">
        <v>8.2730655463344547E-3</v>
      </c>
      <c r="G65" s="21">
        <v>1.4343027647922345E-3</v>
      </c>
      <c r="H65" s="21">
        <v>1.295110823766927E-3</v>
      </c>
      <c r="I65" s="21">
        <v>8.9482907880644223E-6</v>
      </c>
      <c r="J65" s="21">
        <v>1.5812134308041857E-4</v>
      </c>
      <c r="K65" s="21">
        <v>9.0554100599846772E-5</v>
      </c>
      <c r="L65" s="21">
        <v>1.1185431868185925E-2</v>
      </c>
      <c r="M65" s="21">
        <v>7.0944823465619357E-4</v>
      </c>
      <c r="N65" s="21">
        <v>2.0819881336943652E-4</v>
      </c>
      <c r="O65" s="21">
        <v>3.8350980702651855E-3</v>
      </c>
      <c r="P65" s="21">
        <v>2.1839669023568089E-3</v>
      </c>
      <c r="Q65">
        <v>2.5965229291013698E-4</v>
      </c>
      <c r="R65" s="21">
        <v>1.337878852138933E-3</v>
      </c>
      <c r="S65" s="21">
        <v>5.6876658040201644E-4</v>
      </c>
      <c r="U65" s="21">
        <f>C65*30.4*cost!C64</f>
        <v>5.4888661460162129E-2</v>
      </c>
      <c r="V65" s="21">
        <f>D65*30.4*cost!D64</f>
        <v>7.8320992084107491E-2</v>
      </c>
      <c r="W65" s="21">
        <f>E65*30.4*cost!E64</f>
        <v>1.0476310678970754E-2</v>
      </c>
      <c r="X65" s="21">
        <f>F65*30.4*cost!F64</f>
        <v>0.17981152394448305</v>
      </c>
      <c r="Y65" s="21">
        <f>G65*30.4*cost!G64</f>
        <v>2.6775326429042182E-2</v>
      </c>
      <c r="Z65" s="21">
        <f>H65*30.4*cost!H64</f>
        <v>2.4683766271008802E-2</v>
      </c>
      <c r="AA65" s="21">
        <f>I65*30.4*cost!I64</f>
        <v>1.4792641651668469E-4</v>
      </c>
      <c r="AB65" s="21">
        <f>J65*30.4*cost!J64</f>
        <v>0</v>
      </c>
      <c r="AC65" s="21">
        <f>K65*30.4*cost!K64</f>
        <v>1.3118240602957101E-3</v>
      </c>
      <c r="AD65" s="21">
        <f>L65*30.4*cost!L64</f>
        <v>0.19371291668561127</v>
      </c>
      <c r="AE65" s="21">
        <f>M65*30.4*cost!M64</f>
        <v>1.2963331192567729E-2</v>
      </c>
      <c r="AF65" s="21">
        <f>N65*30.4*cost!N64</f>
        <v>4.2057818538336128E-3</v>
      </c>
      <c r="AG65" s="21">
        <f>O65*30.4*cost!O64</f>
        <v>8.6571385449746741E-2</v>
      </c>
      <c r="AH65" s="21">
        <f>P65*30.4*cost!P64</f>
        <v>0</v>
      </c>
      <c r="AI65" s="21">
        <f>Q65*30.4*cost!Q64</f>
        <v>5.6029086712477312E-3</v>
      </c>
      <c r="AJ65" s="21">
        <f>R65*30.4*cost!R64</f>
        <v>2.7980339051196276E-2</v>
      </c>
      <c r="AK65" s="21">
        <f>S65*30.4*cost!S64</f>
        <v>1.0447375082079956E-2</v>
      </c>
      <c r="AM65" s="112">
        <f>HLOOKUP(TFP!$C$14,'current consumption'!$C$5:$S$63,'current consumption'!$A63,FALSE)</f>
        <v>0.24661379372519179</v>
      </c>
      <c r="AN65" s="113">
        <f>$AM65*HLOOKUP(TFP!$C$14,cost!$C$6:$S$64,cost!$A64,FALSE)</f>
        <v>0.175051228052366</v>
      </c>
      <c r="AO65">
        <f t="shared" si="3"/>
        <v>5.3215573327919259</v>
      </c>
      <c r="AQ65" s="20">
        <f t="shared" si="4"/>
        <v>3.9075418914048856</v>
      </c>
    </row>
    <row r="66" spans="1:46" x14ac:dyDescent="0.2">
      <c r="A66" s="75">
        <v>62</v>
      </c>
      <c r="Q66" s="21">
        <f>SUM(Q6:Q65)</f>
        <v>23.484553742319886</v>
      </c>
      <c r="T66" s="65" t="s">
        <v>267</v>
      </c>
      <c r="AM66" s="9"/>
    </row>
    <row r="67" spans="1:46" x14ac:dyDescent="0.2">
      <c r="A67" s="75">
        <v>63</v>
      </c>
      <c r="T67" s="65" t="s">
        <v>528</v>
      </c>
      <c r="U67" s="21">
        <f t="shared" ref="U67:AK67" si="5">SUM(U6:U65)</f>
        <v>95.542857142857997</v>
      </c>
      <c r="V67" s="21">
        <f t="shared" si="5"/>
        <v>100.55046033756214</v>
      </c>
      <c r="W67" s="21">
        <f t="shared" si="5"/>
        <v>109.87428571427029</v>
      </c>
      <c r="X67" s="21">
        <f t="shared" si="5"/>
        <v>139.40571428571442</v>
      </c>
      <c r="Y67" s="21">
        <f t="shared" si="5"/>
        <v>157.21142857142806</v>
      </c>
      <c r="Z67" s="21">
        <f t="shared" si="5"/>
        <v>169.37142857143459</v>
      </c>
      <c r="AA67" s="21">
        <f t="shared" si="5"/>
        <v>174.58280822806856</v>
      </c>
      <c r="AB67" s="21">
        <f t="shared" si="5"/>
        <v>0</v>
      </c>
      <c r="AC67" s="21">
        <f t="shared" si="5"/>
        <v>188.0457142857139</v>
      </c>
      <c r="AD67" s="21">
        <f t="shared" si="5"/>
        <v>171.54285714285692</v>
      </c>
      <c r="AE67" s="21">
        <f t="shared" si="5"/>
        <v>172.84571428571422</v>
      </c>
      <c r="AF67" s="21">
        <f t="shared" si="5"/>
        <v>169.80568814970189</v>
      </c>
      <c r="AG67" s="21">
        <f t="shared" si="5"/>
        <v>166.76571428571424</v>
      </c>
      <c r="AH67" s="21">
        <f t="shared" si="5"/>
        <v>0</v>
      </c>
      <c r="AI67" s="21">
        <f t="shared" si="5"/>
        <v>167.19999999999985</v>
      </c>
      <c r="AJ67" s="21">
        <f t="shared" si="5"/>
        <v>165.46285714285654</v>
      </c>
      <c r="AK67" s="21">
        <f t="shared" si="5"/>
        <v>160.25142857142762</v>
      </c>
      <c r="AM67" s="21">
        <f>SUM(AM6:AM65)</f>
        <v>23.488709741337864</v>
      </c>
      <c r="AN67" s="21">
        <f>SUM(AN6:AN65)</f>
        <v>7.4902755091980815</v>
      </c>
      <c r="AO67" s="21">
        <f>SUM(AO6:AO65)</f>
        <v>227.70437547962172</v>
      </c>
      <c r="AQ67" s="21">
        <f>SUM(AQ6:AQ65)</f>
        <v>167.19999999999982</v>
      </c>
      <c r="AT67" s="21"/>
    </row>
    <row r="68" spans="1:46" x14ac:dyDescent="0.2">
      <c r="T68" s="65" t="s">
        <v>268</v>
      </c>
      <c r="U68" s="21">
        <f>U67/30.4</f>
        <v>3.1428571428571712</v>
      </c>
      <c r="V68" s="21">
        <f t="shared" ref="V68:AK68" si="6">V67/30.4</f>
        <v>3.3075809321566494</v>
      </c>
      <c r="W68" s="21">
        <f t="shared" si="6"/>
        <v>3.6142857142852067</v>
      </c>
      <c r="X68" s="21">
        <f t="shared" si="6"/>
        <v>4.5857142857142907</v>
      </c>
      <c r="Y68" s="21">
        <f t="shared" si="6"/>
        <v>5.1714285714285548</v>
      </c>
      <c r="Z68" s="21">
        <f>Z67/30.4</f>
        <v>5.5714285714287701</v>
      </c>
      <c r="AA68" s="21">
        <f t="shared" si="6"/>
        <v>5.7428555338180454</v>
      </c>
      <c r="AB68" s="21">
        <f t="shared" si="6"/>
        <v>0</v>
      </c>
      <c r="AC68" s="21">
        <f t="shared" si="6"/>
        <v>6.1857142857142735</v>
      </c>
      <c r="AD68" s="21">
        <f t="shared" si="6"/>
        <v>5.6428571428571361</v>
      </c>
      <c r="AE68" s="21">
        <f t="shared" si="6"/>
        <v>5.6857142857142842</v>
      </c>
      <c r="AF68" s="21">
        <f t="shared" si="6"/>
        <v>5.585713425977036</v>
      </c>
      <c r="AG68" s="21">
        <f t="shared" si="6"/>
        <v>5.485714285714284</v>
      </c>
      <c r="AH68" s="21">
        <f t="shared" si="6"/>
        <v>0</v>
      </c>
      <c r="AI68" s="21">
        <f t="shared" si="6"/>
        <v>5.4999999999999956</v>
      </c>
      <c r="AJ68" s="21">
        <f t="shared" si="6"/>
        <v>5.4428571428571235</v>
      </c>
      <c r="AK68" s="21">
        <f t="shared" si="6"/>
        <v>5.2714285714285403</v>
      </c>
      <c r="AO68" s="21">
        <f>AO67/30.4</f>
        <v>7.4902755091980833</v>
      </c>
      <c r="AQ68" s="21">
        <f>AQ67/30.4</f>
        <v>5.4999999999999947</v>
      </c>
    </row>
    <row r="69" spans="1:46" x14ac:dyDescent="0.2">
      <c r="U69" s="66">
        <f>'cost constraint'!C5</f>
        <v>3.1428571428571428</v>
      </c>
      <c r="V69" s="66">
        <f>'cost constraint'!C6</f>
        <v>3.4285714285714284</v>
      </c>
      <c r="W69" s="66">
        <f>'cost constraint'!C7</f>
        <v>3.6142857142857143</v>
      </c>
      <c r="X69" s="66">
        <f>'cost constraint'!C8</f>
        <v>4.5857142857142863</v>
      </c>
      <c r="Y69" s="66">
        <f>'cost constraint'!C9</f>
        <v>5.1714285714285717</v>
      </c>
      <c r="Z69" s="66">
        <f>'cost constraint'!C10</f>
        <v>5.5714285714285712</v>
      </c>
      <c r="AA69" s="66">
        <f>'cost constraint'!C11</f>
        <v>5.7428571428571429</v>
      </c>
      <c r="AB69" s="66">
        <f>'cost constraint'!C12</f>
        <v>0</v>
      </c>
      <c r="AC69" s="66">
        <f>'cost constraint'!C13</f>
        <v>6.1857142857142851</v>
      </c>
      <c r="AD69" s="66">
        <f>'cost constraint'!C14</f>
        <v>5.6428571428571432</v>
      </c>
      <c r="AE69" s="66">
        <f>'cost constraint'!C15</f>
        <v>5.6857142857142851</v>
      </c>
      <c r="AF69" s="66">
        <f>'cost constraint'!C16</f>
        <v>5.5857142857142863</v>
      </c>
      <c r="AG69" s="66">
        <f>'cost constraint'!C17</f>
        <v>5.4857142857142858</v>
      </c>
      <c r="AH69" s="66">
        <f>'cost constraint'!C18</f>
        <v>0</v>
      </c>
      <c r="AI69" s="66">
        <f>'cost constraint'!C19</f>
        <v>5.5</v>
      </c>
      <c r="AJ69" s="66">
        <f>'cost constraint'!C20</f>
        <v>5.4428571428571431</v>
      </c>
      <c r="AK69" s="66">
        <f>'cost constraint'!C21</f>
        <v>5.2714285714285714</v>
      </c>
      <c r="AO69" s="66">
        <f>HLOOKUP(TFP!$C$14,'Model results and default value'!$U$5:$AK$69,64,FALSE)</f>
        <v>5.4999999999999956</v>
      </c>
      <c r="AQ69" s="66">
        <f>HLOOKUP(TFP!$C$14,'Model results and default value'!$U$5:$AK$69,64,FALSE)</f>
        <v>5.4999999999999956</v>
      </c>
    </row>
  </sheetData>
  <mergeCells count="6">
    <mergeCell ref="Z3:AE3"/>
    <mergeCell ref="AF3:AK3"/>
    <mergeCell ref="C3:G3"/>
    <mergeCell ref="H3:M3"/>
    <mergeCell ref="N3:S3"/>
    <mergeCell ref="U3:Y3"/>
  </mergeCells>
  <phoneticPr fontId="1" type="noConversion"/>
  <pageMargins left="0.75" right="0.75" top="1" bottom="1" header="0.5" footer="0.5"/>
  <pageSetup orientation="portrait" horizontalDpi="4294967292" verticalDpi="429496729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134"/>
  <sheetViews>
    <sheetView workbookViewId="0"/>
  </sheetViews>
  <sheetFormatPr defaultColWidth="8.85546875" defaultRowHeight="12.75" x14ac:dyDescent="0.2"/>
  <cols>
    <col min="1" max="1" width="4.42578125" customWidth="1"/>
    <col min="2" max="2" width="55.7109375" customWidth="1"/>
    <col min="3" max="3" width="28.42578125" customWidth="1"/>
    <col min="4" max="4" width="21.42578125" customWidth="1"/>
    <col min="5" max="7" width="0" hidden="1" customWidth="1"/>
  </cols>
  <sheetData>
    <row r="1" spans="1:7" ht="15.75" x14ac:dyDescent="0.25">
      <c r="A1" s="103" t="s">
        <v>385</v>
      </c>
    </row>
    <row r="3" spans="1:7" ht="13.5" thickBot="1" x14ac:dyDescent="0.25">
      <c r="B3" s="104" t="s">
        <v>626</v>
      </c>
      <c r="C3" s="104" t="s">
        <v>627</v>
      </c>
      <c r="D3" s="105" t="s">
        <v>378</v>
      </c>
      <c r="E3" s="104" t="s">
        <v>377</v>
      </c>
      <c r="F3" s="105"/>
      <c r="G3" s="105"/>
    </row>
    <row r="4" spans="1:7" ht="13.5" thickTop="1" x14ac:dyDescent="0.2">
      <c r="A4">
        <v>1</v>
      </c>
      <c r="B4" t="s">
        <v>169</v>
      </c>
      <c r="C4" s="2" t="s">
        <v>577</v>
      </c>
      <c r="D4" s="4" t="s">
        <v>238</v>
      </c>
      <c r="E4" s="3" t="s">
        <v>305</v>
      </c>
    </row>
    <row r="5" spans="1:7" x14ac:dyDescent="0.2">
      <c r="A5">
        <v>2</v>
      </c>
      <c r="B5" t="s">
        <v>28</v>
      </c>
      <c r="C5" s="3" t="s">
        <v>327</v>
      </c>
      <c r="D5" s="4" t="s">
        <v>383</v>
      </c>
      <c r="E5" s="3" t="s">
        <v>467</v>
      </c>
    </row>
    <row r="6" spans="1:7" x14ac:dyDescent="0.2">
      <c r="A6">
        <v>3</v>
      </c>
      <c r="B6" t="s">
        <v>29</v>
      </c>
      <c r="C6" s="2" t="s">
        <v>29</v>
      </c>
      <c r="D6" s="4" t="s">
        <v>140</v>
      </c>
      <c r="E6" s="3" t="s">
        <v>468</v>
      </c>
    </row>
    <row r="7" spans="1:7" x14ac:dyDescent="0.2">
      <c r="A7">
        <v>4</v>
      </c>
      <c r="B7" t="s">
        <v>30</v>
      </c>
      <c r="C7" s="3" t="s">
        <v>60</v>
      </c>
      <c r="D7" s="4" t="s">
        <v>141</v>
      </c>
      <c r="E7" s="3" t="s">
        <v>168</v>
      </c>
    </row>
    <row r="8" spans="1:7" x14ac:dyDescent="0.2">
      <c r="A8">
        <v>5</v>
      </c>
      <c r="B8" t="s">
        <v>31</v>
      </c>
      <c r="C8" s="3" t="s">
        <v>61</v>
      </c>
      <c r="D8" s="4" t="s">
        <v>142</v>
      </c>
    </row>
    <row r="9" spans="1:7" x14ac:dyDescent="0.2">
      <c r="A9">
        <v>6</v>
      </c>
      <c r="B9" t="s">
        <v>163</v>
      </c>
      <c r="C9" s="3" t="s">
        <v>425</v>
      </c>
      <c r="D9" s="4" t="s">
        <v>143</v>
      </c>
      <c r="E9" s="3" t="s">
        <v>26</v>
      </c>
    </row>
    <row r="10" spans="1:7" x14ac:dyDescent="0.2">
      <c r="A10">
        <v>7</v>
      </c>
      <c r="B10" t="s">
        <v>138</v>
      </c>
      <c r="C10" s="3" t="s">
        <v>324</v>
      </c>
      <c r="D10" s="4" t="s">
        <v>144</v>
      </c>
    </row>
    <row r="11" spans="1:7" x14ac:dyDescent="0.2">
      <c r="A11">
        <v>8</v>
      </c>
      <c r="B11" t="s">
        <v>27</v>
      </c>
      <c r="C11" s="3" t="s">
        <v>616</v>
      </c>
      <c r="D11" s="4" t="s">
        <v>387</v>
      </c>
    </row>
    <row r="12" spans="1:7" x14ac:dyDescent="0.2">
      <c r="A12">
        <v>9</v>
      </c>
      <c r="B12" t="s">
        <v>469</v>
      </c>
      <c r="C12" s="3" t="s">
        <v>617</v>
      </c>
      <c r="D12" s="4" t="s">
        <v>388</v>
      </c>
    </row>
    <row r="13" spans="1:7" x14ac:dyDescent="0.2">
      <c r="A13">
        <v>10</v>
      </c>
      <c r="B13" t="s">
        <v>470</v>
      </c>
      <c r="C13" s="3" t="s">
        <v>562</v>
      </c>
      <c r="D13" s="4" t="s">
        <v>389</v>
      </c>
      <c r="E13" s="3" t="s">
        <v>166</v>
      </c>
    </row>
    <row r="14" spans="1:7" x14ac:dyDescent="0.2">
      <c r="A14">
        <v>11</v>
      </c>
      <c r="B14" t="s">
        <v>471</v>
      </c>
      <c r="C14" s="3" t="s">
        <v>571</v>
      </c>
      <c r="D14" s="4" t="s">
        <v>390</v>
      </c>
    </row>
    <row r="15" spans="1:7" x14ac:dyDescent="0.2">
      <c r="A15">
        <v>12</v>
      </c>
      <c r="B15" t="s">
        <v>618</v>
      </c>
      <c r="C15" s="3" t="s">
        <v>450</v>
      </c>
      <c r="D15" s="4" t="s">
        <v>391</v>
      </c>
    </row>
    <row r="16" spans="1:7" x14ac:dyDescent="0.2">
      <c r="A16">
        <v>13</v>
      </c>
      <c r="B16" t="s">
        <v>601</v>
      </c>
      <c r="C16" s="3" t="s">
        <v>451</v>
      </c>
      <c r="D16" s="4" t="s">
        <v>392</v>
      </c>
    </row>
    <row r="17" spans="1:5" x14ac:dyDescent="0.2">
      <c r="A17">
        <v>14</v>
      </c>
      <c r="B17" t="s">
        <v>170</v>
      </c>
      <c r="C17" s="3" t="s">
        <v>452</v>
      </c>
      <c r="D17" s="4" t="s">
        <v>148</v>
      </c>
      <c r="E17" s="3" t="s">
        <v>167</v>
      </c>
    </row>
    <row r="18" spans="1:5" x14ac:dyDescent="0.2">
      <c r="A18">
        <v>15</v>
      </c>
      <c r="B18" t="s">
        <v>245</v>
      </c>
      <c r="C18" s="3" t="s">
        <v>453</v>
      </c>
      <c r="D18" s="4" t="s">
        <v>149</v>
      </c>
    </row>
    <row r="19" spans="1:5" x14ac:dyDescent="0.2">
      <c r="A19">
        <v>16</v>
      </c>
      <c r="B19" t="s">
        <v>246</v>
      </c>
      <c r="C19" s="3" t="s">
        <v>445</v>
      </c>
      <c r="D19" s="4" t="s">
        <v>150</v>
      </c>
    </row>
    <row r="20" spans="1:5" x14ac:dyDescent="0.2">
      <c r="A20">
        <v>17</v>
      </c>
      <c r="B20" t="s">
        <v>247</v>
      </c>
      <c r="C20" s="3" t="s">
        <v>446</v>
      </c>
      <c r="D20" s="4" t="s">
        <v>151</v>
      </c>
    </row>
    <row r="21" spans="1:5" x14ac:dyDescent="0.2">
      <c r="A21">
        <v>18</v>
      </c>
      <c r="B21" t="s">
        <v>248</v>
      </c>
      <c r="C21" s="2" t="s">
        <v>578</v>
      </c>
      <c r="D21" s="4" t="s">
        <v>263</v>
      </c>
      <c r="E21" s="3" t="s">
        <v>612</v>
      </c>
    </row>
    <row r="22" spans="1:5" x14ac:dyDescent="0.2">
      <c r="A22">
        <v>19</v>
      </c>
      <c r="B22" t="s">
        <v>524</v>
      </c>
      <c r="C22" s="3" t="s">
        <v>447</v>
      </c>
      <c r="D22" s="4" t="s">
        <v>264</v>
      </c>
    </row>
    <row r="23" spans="1:5" x14ac:dyDescent="0.2">
      <c r="A23">
        <v>20</v>
      </c>
      <c r="B23" t="s">
        <v>210</v>
      </c>
      <c r="C23" s="2" t="s">
        <v>579</v>
      </c>
      <c r="D23" s="4" t="s">
        <v>265</v>
      </c>
      <c r="E23" s="3" t="s">
        <v>210</v>
      </c>
    </row>
    <row r="24" spans="1:5" x14ac:dyDescent="0.2">
      <c r="A24">
        <v>21</v>
      </c>
      <c r="B24" t="s">
        <v>102</v>
      </c>
      <c r="C24" s="2" t="s">
        <v>580</v>
      </c>
      <c r="D24" s="4" t="s">
        <v>266</v>
      </c>
    </row>
    <row r="25" spans="1:5" x14ac:dyDescent="0.2">
      <c r="A25">
        <v>22</v>
      </c>
      <c r="B25" t="s">
        <v>12</v>
      </c>
      <c r="C25" s="3" t="s">
        <v>178</v>
      </c>
      <c r="D25" s="4" t="s">
        <v>52</v>
      </c>
    </row>
    <row r="26" spans="1:5" hidden="1" x14ac:dyDescent="0.2">
      <c r="B26" s="1" t="s">
        <v>13</v>
      </c>
      <c r="C26" s="1" t="s">
        <v>14</v>
      </c>
      <c r="D26" s="55" t="s">
        <v>489</v>
      </c>
      <c r="E26" s="3" t="s">
        <v>379</v>
      </c>
    </row>
    <row r="27" spans="1:5" x14ac:dyDescent="0.2">
      <c r="A27">
        <v>23</v>
      </c>
      <c r="B27" t="s">
        <v>13</v>
      </c>
      <c r="C27" s="2" t="s">
        <v>581</v>
      </c>
      <c r="D27" s="4" t="s">
        <v>53</v>
      </c>
      <c r="E27" s="3" t="s">
        <v>206</v>
      </c>
    </row>
    <row r="28" spans="1:5" x14ac:dyDescent="0.2">
      <c r="A28">
        <v>24</v>
      </c>
      <c r="B28" t="s">
        <v>15</v>
      </c>
      <c r="C28" s="2" t="s">
        <v>15</v>
      </c>
      <c r="D28" s="4" t="s">
        <v>54</v>
      </c>
      <c r="E28" s="3"/>
    </row>
    <row r="29" spans="1:5" x14ac:dyDescent="0.2">
      <c r="A29">
        <v>25</v>
      </c>
      <c r="B29" t="s">
        <v>66</v>
      </c>
      <c r="C29" s="3" t="s">
        <v>406</v>
      </c>
      <c r="D29" s="4" t="s">
        <v>280</v>
      </c>
      <c r="E29" s="3" t="s">
        <v>613</v>
      </c>
    </row>
    <row r="30" spans="1:5" x14ac:dyDescent="0.2">
      <c r="A30">
        <v>26</v>
      </c>
      <c r="B30" t="s">
        <v>67</v>
      </c>
      <c r="C30" s="3" t="s">
        <v>407</v>
      </c>
      <c r="D30" s="4" t="s">
        <v>281</v>
      </c>
      <c r="E30" s="3" t="s">
        <v>614</v>
      </c>
    </row>
    <row r="31" spans="1:5" x14ac:dyDescent="0.2">
      <c r="A31">
        <v>27</v>
      </c>
      <c r="B31" t="s">
        <v>68</v>
      </c>
      <c r="C31" s="3" t="s">
        <v>619</v>
      </c>
      <c r="D31" s="4" t="s">
        <v>282</v>
      </c>
    </row>
    <row r="32" spans="1:5" x14ac:dyDescent="0.2">
      <c r="A32">
        <v>28</v>
      </c>
      <c r="B32" t="s">
        <v>183</v>
      </c>
      <c r="C32" s="3" t="s">
        <v>62</v>
      </c>
      <c r="D32" s="4" t="s">
        <v>283</v>
      </c>
      <c r="E32" s="3" t="s">
        <v>615</v>
      </c>
    </row>
    <row r="33" spans="1:5" x14ac:dyDescent="0.2">
      <c r="A33">
        <v>29</v>
      </c>
      <c r="B33" t="s">
        <v>339</v>
      </c>
      <c r="C33" s="3" t="s">
        <v>181</v>
      </c>
      <c r="D33" s="4" t="s">
        <v>424</v>
      </c>
    </row>
    <row r="34" spans="1:5" x14ac:dyDescent="0.2">
      <c r="A34">
        <v>30</v>
      </c>
      <c r="B34" t="s">
        <v>340</v>
      </c>
      <c r="C34" s="3" t="s">
        <v>566</v>
      </c>
      <c r="D34" s="4" t="s">
        <v>292</v>
      </c>
    </row>
    <row r="35" spans="1:5" x14ac:dyDescent="0.2">
      <c r="A35">
        <v>31</v>
      </c>
      <c r="B35" t="s">
        <v>34</v>
      </c>
      <c r="C35" s="3" t="s">
        <v>567</v>
      </c>
      <c r="D35" s="4" t="s">
        <v>293</v>
      </c>
    </row>
    <row r="36" spans="1:5" x14ac:dyDescent="0.2">
      <c r="A36">
        <v>32</v>
      </c>
      <c r="B36" t="s">
        <v>184</v>
      </c>
      <c r="C36" s="3" t="s">
        <v>568</v>
      </c>
      <c r="D36" s="4" t="s">
        <v>286</v>
      </c>
    </row>
    <row r="37" spans="1:5" x14ac:dyDescent="0.2">
      <c r="A37">
        <v>33</v>
      </c>
      <c r="B37" t="s">
        <v>200</v>
      </c>
      <c r="C37" s="3" t="s">
        <v>630</v>
      </c>
      <c r="D37" s="4" t="s">
        <v>287</v>
      </c>
    </row>
    <row r="38" spans="1:5" x14ac:dyDescent="0.2">
      <c r="A38">
        <v>34</v>
      </c>
      <c r="B38" t="s">
        <v>346</v>
      </c>
      <c r="C38" s="3" t="s">
        <v>631</v>
      </c>
      <c r="D38" s="4" t="s">
        <v>197</v>
      </c>
      <c r="E38" s="3" t="s">
        <v>171</v>
      </c>
    </row>
    <row r="39" spans="1:5" x14ac:dyDescent="0.2">
      <c r="A39">
        <v>35</v>
      </c>
      <c r="B39" t="s">
        <v>347</v>
      </c>
      <c r="C39" s="3" t="s">
        <v>348</v>
      </c>
      <c r="D39" s="4" t="s">
        <v>198</v>
      </c>
    </row>
    <row r="40" spans="1:5" x14ac:dyDescent="0.2">
      <c r="A40">
        <v>36</v>
      </c>
      <c r="B40" t="s">
        <v>376</v>
      </c>
      <c r="C40" s="2" t="s">
        <v>582</v>
      </c>
      <c r="D40" s="4" t="s">
        <v>199</v>
      </c>
    </row>
    <row r="41" spans="1:5" x14ac:dyDescent="0.2">
      <c r="A41">
        <v>37</v>
      </c>
      <c r="B41" t="s">
        <v>3</v>
      </c>
      <c r="C41" s="3" t="s">
        <v>349</v>
      </c>
      <c r="D41" s="4" t="s">
        <v>96</v>
      </c>
    </row>
    <row r="42" spans="1:5" x14ac:dyDescent="0.2">
      <c r="A42">
        <v>38</v>
      </c>
      <c r="B42" t="s">
        <v>374</v>
      </c>
      <c r="C42" s="3" t="s">
        <v>350</v>
      </c>
      <c r="D42" s="4" t="s">
        <v>97</v>
      </c>
      <c r="E42" s="3" t="s">
        <v>172</v>
      </c>
    </row>
    <row r="43" spans="1:5" x14ac:dyDescent="0.2">
      <c r="A43">
        <v>39</v>
      </c>
      <c r="B43" t="s">
        <v>375</v>
      </c>
      <c r="C43" s="2" t="s">
        <v>583</v>
      </c>
      <c r="D43" s="4" t="s">
        <v>98</v>
      </c>
      <c r="E43" s="3" t="s">
        <v>173</v>
      </c>
    </row>
    <row r="44" spans="1:5" x14ac:dyDescent="0.2">
      <c r="A44">
        <v>40</v>
      </c>
      <c r="B44" t="s">
        <v>215</v>
      </c>
      <c r="C44" s="3" t="s">
        <v>351</v>
      </c>
      <c r="D44" s="4" t="s">
        <v>99</v>
      </c>
    </row>
    <row r="45" spans="1:5" x14ac:dyDescent="0.2">
      <c r="A45">
        <v>41</v>
      </c>
      <c r="B45" t="s">
        <v>216</v>
      </c>
      <c r="C45" s="2" t="s">
        <v>584</v>
      </c>
      <c r="D45" s="4" t="s">
        <v>100</v>
      </c>
    </row>
    <row r="46" spans="1:5" x14ac:dyDescent="0.2">
      <c r="A46">
        <v>42</v>
      </c>
      <c r="B46" t="s">
        <v>103</v>
      </c>
      <c r="C46" s="2" t="s">
        <v>230</v>
      </c>
      <c r="D46" s="4" t="s">
        <v>101</v>
      </c>
      <c r="E46" s="3" t="s">
        <v>174</v>
      </c>
    </row>
    <row r="47" spans="1:5" x14ac:dyDescent="0.2">
      <c r="A47">
        <v>43</v>
      </c>
      <c r="B47" t="s">
        <v>104</v>
      </c>
      <c r="C47" s="3" t="s">
        <v>352</v>
      </c>
      <c r="D47" s="4" t="s">
        <v>80</v>
      </c>
    </row>
    <row r="48" spans="1:5" x14ac:dyDescent="0.2">
      <c r="A48">
        <v>44</v>
      </c>
      <c r="B48" t="s">
        <v>244</v>
      </c>
      <c r="C48" s="2" t="s">
        <v>176</v>
      </c>
      <c r="D48" s="4" t="s">
        <v>81</v>
      </c>
      <c r="E48" s="3" t="s">
        <v>175</v>
      </c>
    </row>
    <row r="49" spans="1:5" x14ac:dyDescent="0.2">
      <c r="A49">
        <v>45</v>
      </c>
      <c r="B49" t="s">
        <v>600</v>
      </c>
      <c r="C49" s="2" t="s">
        <v>448</v>
      </c>
      <c r="D49" s="4" t="s">
        <v>82</v>
      </c>
      <c r="E49" s="3" t="s">
        <v>33</v>
      </c>
    </row>
    <row r="50" spans="1:5" x14ac:dyDescent="0.2">
      <c r="A50">
        <v>46</v>
      </c>
      <c r="B50" t="s">
        <v>217</v>
      </c>
      <c r="C50" s="3" t="s">
        <v>188</v>
      </c>
      <c r="D50" s="4" t="s">
        <v>83</v>
      </c>
    </row>
    <row r="51" spans="1:5" x14ac:dyDescent="0.2">
      <c r="A51">
        <v>47</v>
      </c>
      <c r="B51" t="s">
        <v>105</v>
      </c>
      <c r="C51" s="3" t="s">
        <v>189</v>
      </c>
      <c r="D51" s="4" t="s">
        <v>84</v>
      </c>
    </row>
    <row r="52" spans="1:5" x14ac:dyDescent="0.2">
      <c r="A52">
        <v>48</v>
      </c>
      <c r="B52" t="s">
        <v>106</v>
      </c>
      <c r="C52" s="2" t="s">
        <v>155</v>
      </c>
      <c r="D52" s="4" t="s">
        <v>85</v>
      </c>
      <c r="E52" s="3" t="s">
        <v>177</v>
      </c>
    </row>
    <row r="53" spans="1:5" x14ac:dyDescent="0.2">
      <c r="A53">
        <v>49</v>
      </c>
      <c r="B53" t="s">
        <v>107</v>
      </c>
      <c r="C53" s="2" t="s">
        <v>48</v>
      </c>
      <c r="D53" s="4" t="s">
        <v>86</v>
      </c>
    </row>
    <row r="54" spans="1:5" x14ac:dyDescent="0.2">
      <c r="A54">
        <v>50</v>
      </c>
      <c r="B54" t="s">
        <v>108</v>
      </c>
      <c r="C54" s="3" t="s">
        <v>190</v>
      </c>
      <c r="D54" s="4" t="s">
        <v>87</v>
      </c>
    </row>
    <row r="55" spans="1:5" x14ac:dyDescent="0.2">
      <c r="A55">
        <v>51</v>
      </c>
      <c r="B55" t="s">
        <v>380</v>
      </c>
      <c r="C55" s="3" t="s">
        <v>191</v>
      </c>
      <c r="D55" s="4" t="s">
        <v>370</v>
      </c>
    </row>
    <row r="56" spans="1:5" x14ac:dyDescent="0.2">
      <c r="A56">
        <v>52</v>
      </c>
      <c r="B56" t="s">
        <v>17</v>
      </c>
      <c r="C56" s="2" t="s">
        <v>422</v>
      </c>
      <c r="D56" s="4" t="s">
        <v>371</v>
      </c>
    </row>
    <row r="57" spans="1:5" x14ac:dyDescent="0.2">
      <c r="A57">
        <v>53</v>
      </c>
      <c r="B57" t="s">
        <v>122</v>
      </c>
      <c r="C57" s="3" t="s">
        <v>192</v>
      </c>
      <c r="D57" s="4" t="s">
        <v>372</v>
      </c>
    </row>
    <row r="58" spans="1:5" x14ac:dyDescent="0.2">
      <c r="A58">
        <v>54</v>
      </c>
      <c r="B58" t="s">
        <v>137</v>
      </c>
      <c r="C58" s="2" t="s">
        <v>49</v>
      </c>
      <c r="D58" s="4" t="s">
        <v>373</v>
      </c>
      <c r="E58" s="3" t="s">
        <v>179</v>
      </c>
    </row>
    <row r="59" spans="1:5" x14ac:dyDescent="0.2">
      <c r="A59">
        <v>55</v>
      </c>
      <c r="B59" t="s">
        <v>585</v>
      </c>
      <c r="C59" s="2" t="s">
        <v>50</v>
      </c>
      <c r="D59" s="4" t="s">
        <v>294</v>
      </c>
      <c r="E59" s="3" t="s">
        <v>180</v>
      </c>
    </row>
    <row r="60" spans="1:5" x14ac:dyDescent="0.2">
      <c r="A60">
        <v>56</v>
      </c>
      <c r="B60" t="s">
        <v>586</v>
      </c>
      <c r="C60" s="2" t="s">
        <v>51</v>
      </c>
      <c r="D60" s="4" t="s">
        <v>295</v>
      </c>
      <c r="E60" s="3" t="s">
        <v>475</v>
      </c>
    </row>
    <row r="61" spans="1:5" x14ac:dyDescent="0.2">
      <c r="A61">
        <v>57</v>
      </c>
      <c r="B61" t="s">
        <v>589</v>
      </c>
      <c r="C61" s="3" t="s">
        <v>193</v>
      </c>
      <c r="D61" s="4" t="s">
        <v>296</v>
      </c>
    </row>
    <row r="62" spans="1:5" x14ac:dyDescent="0.2">
      <c r="A62">
        <v>58</v>
      </c>
      <c r="B62" t="s">
        <v>590</v>
      </c>
      <c r="C62" s="2" t="s">
        <v>326</v>
      </c>
      <c r="D62" s="4" t="s">
        <v>297</v>
      </c>
      <c r="E62" s="3" t="s">
        <v>182</v>
      </c>
    </row>
    <row r="65" spans="2:4" ht="13.5" thickBot="1" x14ac:dyDescent="0.25">
      <c r="B65" s="104" t="s">
        <v>625</v>
      </c>
      <c r="C65" s="104" t="s">
        <v>221</v>
      </c>
      <c r="D65" s="106" t="s">
        <v>220</v>
      </c>
    </row>
    <row r="66" spans="2:4" ht="13.5" thickTop="1" x14ac:dyDescent="0.2">
      <c r="B66" s="3" t="s">
        <v>218</v>
      </c>
      <c r="C66" s="3" t="s">
        <v>218</v>
      </c>
      <c r="D66" s="3" t="s">
        <v>476</v>
      </c>
    </row>
    <row r="67" spans="2:4" x14ac:dyDescent="0.2">
      <c r="B67" s="3" t="s">
        <v>408</v>
      </c>
      <c r="C67" s="3" t="s">
        <v>408</v>
      </c>
      <c r="D67" s="3" t="s">
        <v>477</v>
      </c>
    </row>
    <row r="68" spans="2:4" x14ac:dyDescent="0.2">
      <c r="B68" s="3" t="s">
        <v>409</v>
      </c>
      <c r="C68" s="3" t="s">
        <v>409</v>
      </c>
      <c r="D68" s="3" t="s">
        <v>478</v>
      </c>
    </row>
    <row r="69" spans="2:4" x14ac:dyDescent="0.2">
      <c r="B69" s="3" t="s">
        <v>410</v>
      </c>
      <c r="C69" s="3" t="s">
        <v>410</v>
      </c>
      <c r="D69" s="3" t="s">
        <v>479</v>
      </c>
    </row>
    <row r="70" spans="2:4" x14ac:dyDescent="0.2">
      <c r="B70" s="3" t="s">
        <v>411</v>
      </c>
      <c r="C70" s="3" t="s">
        <v>411</v>
      </c>
      <c r="D70" s="3" t="s">
        <v>480</v>
      </c>
    </row>
    <row r="71" spans="2:4" x14ac:dyDescent="0.2">
      <c r="B71" s="3" t="s">
        <v>412</v>
      </c>
      <c r="C71" s="3" t="s">
        <v>412</v>
      </c>
      <c r="D71" s="3" t="s">
        <v>481</v>
      </c>
    </row>
    <row r="72" spans="2:4" x14ac:dyDescent="0.2">
      <c r="B72" s="3" t="s">
        <v>620</v>
      </c>
      <c r="C72" s="3" t="s">
        <v>620</v>
      </c>
      <c r="D72" s="3" t="s">
        <v>482</v>
      </c>
    </row>
    <row r="73" spans="2:4" x14ac:dyDescent="0.2">
      <c r="B73" s="3" t="s">
        <v>621</v>
      </c>
      <c r="C73" s="3" t="s">
        <v>621</v>
      </c>
      <c r="D73" s="3" t="s">
        <v>341</v>
      </c>
    </row>
    <row r="74" spans="2:4" x14ac:dyDescent="0.2">
      <c r="B74" s="3" t="s">
        <v>622</v>
      </c>
      <c r="C74" s="3" t="s">
        <v>622</v>
      </c>
      <c r="D74" s="3" t="s">
        <v>443</v>
      </c>
    </row>
    <row r="75" spans="2:4" x14ac:dyDescent="0.2">
      <c r="B75" s="3" t="s">
        <v>413</v>
      </c>
      <c r="C75" s="3" t="s">
        <v>413</v>
      </c>
      <c r="D75" s="3" t="s">
        <v>342</v>
      </c>
    </row>
    <row r="76" spans="2:4" x14ac:dyDescent="0.2">
      <c r="B76" s="3" t="s">
        <v>414</v>
      </c>
      <c r="C76" s="3" t="s">
        <v>414</v>
      </c>
      <c r="D76" s="3" t="s">
        <v>343</v>
      </c>
    </row>
    <row r="77" spans="2:4" x14ac:dyDescent="0.2">
      <c r="B77" s="3" t="s">
        <v>415</v>
      </c>
      <c r="C77" s="3" t="s">
        <v>415</v>
      </c>
      <c r="D77" s="3" t="s">
        <v>344</v>
      </c>
    </row>
    <row r="78" spans="2:4" x14ac:dyDescent="0.2">
      <c r="B78" s="3" t="s">
        <v>416</v>
      </c>
      <c r="C78" s="3" t="s">
        <v>416</v>
      </c>
      <c r="D78" s="3" t="s">
        <v>345</v>
      </c>
    </row>
    <row r="79" spans="2:4" x14ac:dyDescent="0.2">
      <c r="B79" s="3" t="s">
        <v>417</v>
      </c>
      <c r="C79" s="3" t="s">
        <v>417</v>
      </c>
      <c r="D79" s="3" t="s">
        <v>485</v>
      </c>
    </row>
    <row r="80" spans="2:4" x14ac:dyDescent="0.2">
      <c r="B80" s="3" t="s">
        <v>418</v>
      </c>
      <c r="C80" s="3" t="s">
        <v>418</v>
      </c>
      <c r="D80" s="3" t="s">
        <v>486</v>
      </c>
    </row>
    <row r="81" spans="2:4" x14ac:dyDescent="0.2">
      <c r="B81" s="3" t="s">
        <v>419</v>
      </c>
      <c r="C81" s="3" t="s">
        <v>419</v>
      </c>
      <c r="D81" s="3" t="s">
        <v>487</v>
      </c>
    </row>
    <row r="82" spans="2:4" x14ac:dyDescent="0.2">
      <c r="B82" s="3" t="s">
        <v>420</v>
      </c>
      <c r="C82" s="3" t="s">
        <v>420</v>
      </c>
      <c r="D82" s="3" t="s">
        <v>488</v>
      </c>
    </row>
    <row r="86" spans="2:4" ht="13.5" thickBot="1" x14ac:dyDescent="0.25">
      <c r="B86" s="104" t="s">
        <v>628</v>
      </c>
      <c r="C86" s="104" t="s">
        <v>542</v>
      </c>
      <c r="D86" s="104" t="s">
        <v>543</v>
      </c>
    </row>
    <row r="87" spans="2:4" ht="13.5" thickTop="1" x14ac:dyDescent="0.2">
      <c r="B87" s="98" t="s">
        <v>545</v>
      </c>
      <c r="C87" s="98" t="s">
        <v>433</v>
      </c>
      <c r="D87" s="99" t="s">
        <v>298</v>
      </c>
    </row>
    <row r="88" spans="2:4" x14ac:dyDescent="0.2">
      <c r="B88" s="98" t="s">
        <v>546</v>
      </c>
      <c r="C88" s="98" t="s">
        <v>434</v>
      </c>
      <c r="D88" s="99" t="s">
        <v>301</v>
      </c>
    </row>
    <row r="89" spans="2:4" x14ac:dyDescent="0.2">
      <c r="B89" s="98" t="s">
        <v>547</v>
      </c>
      <c r="C89" s="98" t="s">
        <v>435</v>
      </c>
      <c r="D89" s="99" t="s">
        <v>299</v>
      </c>
    </row>
    <row r="90" spans="2:4" x14ac:dyDescent="0.2">
      <c r="B90" s="98" t="s">
        <v>384</v>
      </c>
      <c r="C90" s="98" t="s">
        <v>436</v>
      </c>
      <c r="D90" s="99" t="s">
        <v>300</v>
      </c>
    </row>
    <row r="91" spans="2:4" x14ac:dyDescent="0.2">
      <c r="B91" s="98" t="s">
        <v>437</v>
      </c>
      <c r="C91" s="98" t="s">
        <v>437</v>
      </c>
      <c r="D91" s="99" t="s">
        <v>459</v>
      </c>
    </row>
    <row r="92" spans="2:4" x14ac:dyDescent="0.2">
      <c r="B92" s="100" t="s">
        <v>438</v>
      </c>
      <c r="C92" s="100" t="s">
        <v>438</v>
      </c>
      <c r="D92" s="101" t="s">
        <v>592</v>
      </c>
    </row>
    <row r="93" spans="2:4" x14ac:dyDescent="0.2">
      <c r="B93" s="100" t="s">
        <v>439</v>
      </c>
      <c r="C93" s="100" t="s">
        <v>439</v>
      </c>
      <c r="D93" s="101" t="s">
        <v>593</v>
      </c>
    </row>
    <row r="94" spans="2:4" x14ac:dyDescent="0.2">
      <c r="B94" s="100" t="s">
        <v>308</v>
      </c>
      <c r="C94" s="100" t="s">
        <v>308</v>
      </c>
      <c r="D94" s="101" t="s">
        <v>594</v>
      </c>
    </row>
    <row r="95" spans="2:4" x14ac:dyDescent="0.2">
      <c r="B95" s="100" t="s">
        <v>309</v>
      </c>
      <c r="C95" s="100" t="s">
        <v>309</v>
      </c>
      <c r="D95" s="101" t="s">
        <v>595</v>
      </c>
    </row>
    <row r="96" spans="2:4" x14ac:dyDescent="0.2">
      <c r="B96" s="100" t="s">
        <v>310</v>
      </c>
      <c r="C96" s="100" t="s">
        <v>310</v>
      </c>
      <c r="D96" s="101" t="s">
        <v>596</v>
      </c>
    </row>
    <row r="97" spans="2:4" x14ac:dyDescent="0.2">
      <c r="B97" s="100" t="s">
        <v>271</v>
      </c>
      <c r="C97" s="100" t="s">
        <v>271</v>
      </c>
      <c r="D97" s="101" t="s">
        <v>597</v>
      </c>
    </row>
    <row r="98" spans="2:4" x14ac:dyDescent="0.2">
      <c r="B98" s="100" t="s">
        <v>272</v>
      </c>
      <c r="C98" s="100" t="s">
        <v>272</v>
      </c>
      <c r="D98" s="101" t="s">
        <v>598</v>
      </c>
    </row>
    <row r="99" spans="2:4" x14ac:dyDescent="0.2">
      <c r="B99" s="100" t="s">
        <v>273</v>
      </c>
      <c r="C99" s="100" t="s">
        <v>273</v>
      </c>
      <c r="D99" s="101" t="s">
        <v>599</v>
      </c>
    </row>
    <row r="100" spans="2:4" x14ac:dyDescent="0.2">
      <c r="B100" s="100" t="s">
        <v>274</v>
      </c>
      <c r="C100" s="100" t="s">
        <v>274</v>
      </c>
      <c r="D100" s="101" t="s">
        <v>124</v>
      </c>
    </row>
    <row r="101" spans="2:4" x14ac:dyDescent="0.2">
      <c r="B101" s="100" t="s">
        <v>275</v>
      </c>
      <c r="C101" s="100" t="s">
        <v>275</v>
      </c>
      <c r="D101" s="101" t="s">
        <v>125</v>
      </c>
    </row>
    <row r="102" spans="2:4" x14ac:dyDescent="0.2">
      <c r="B102" s="100" t="s">
        <v>276</v>
      </c>
      <c r="C102" s="100" t="s">
        <v>276</v>
      </c>
      <c r="D102" s="101" t="s">
        <v>126</v>
      </c>
    </row>
    <row r="103" spans="2:4" x14ac:dyDescent="0.2">
      <c r="B103" s="100" t="s">
        <v>277</v>
      </c>
      <c r="C103" s="100" t="s">
        <v>277</v>
      </c>
      <c r="D103" s="101" t="s">
        <v>240</v>
      </c>
    </row>
    <row r="104" spans="2:4" x14ac:dyDescent="0.2">
      <c r="B104" s="100" t="s">
        <v>278</v>
      </c>
      <c r="C104" s="100" t="s">
        <v>278</v>
      </c>
      <c r="D104" s="101" t="s">
        <v>241</v>
      </c>
    </row>
    <row r="105" spans="2:4" x14ac:dyDescent="0.2">
      <c r="B105" s="100" t="s">
        <v>279</v>
      </c>
      <c r="C105" s="100" t="s">
        <v>279</v>
      </c>
      <c r="D105" s="101" t="s">
        <v>242</v>
      </c>
    </row>
    <row r="106" spans="2:4" x14ac:dyDescent="0.2">
      <c r="B106" s="100" t="s">
        <v>317</v>
      </c>
      <c r="C106" s="100" t="s">
        <v>317</v>
      </c>
      <c r="D106" s="101" t="s">
        <v>243</v>
      </c>
    </row>
    <row r="107" spans="2:4" x14ac:dyDescent="0.2">
      <c r="B107" s="100" t="s">
        <v>318</v>
      </c>
      <c r="C107" s="100" t="s">
        <v>318</v>
      </c>
      <c r="D107" s="101" t="s">
        <v>117</v>
      </c>
    </row>
    <row r="108" spans="2:4" x14ac:dyDescent="0.2">
      <c r="B108" s="100" t="s">
        <v>319</v>
      </c>
      <c r="C108" s="100" t="s">
        <v>319</v>
      </c>
      <c r="D108" s="101" t="s">
        <v>118</v>
      </c>
    </row>
    <row r="109" spans="2:4" x14ac:dyDescent="0.2">
      <c r="B109" s="100" t="s">
        <v>320</v>
      </c>
      <c r="C109" s="100" t="s">
        <v>320</v>
      </c>
      <c r="D109" s="101" t="s">
        <v>119</v>
      </c>
    </row>
    <row r="110" spans="2:4" x14ac:dyDescent="0.2">
      <c r="B110" s="100" t="s">
        <v>321</v>
      </c>
      <c r="C110" s="100" t="s">
        <v>321</v>
      </c>
      <c r="D110" s="101" t="s">
        <v>120</v>
      </c>
    </row>
    <row r="111" spans="2:4" x14ac:dyDescent="0.2">
      <c r="B111" s="100" t="s">
        <v>328</v>
      </c>
      <c r="C111" s="100" t="s">
        <v>328</v>
      </c>
      <c r="D111" s="101" t="s">
        <v>32</v>
      </c>
    </row>
    <row r="112" spans="2:4" x14ac:dyDescent="0.2">
      <c r="B112" s="100" t="s">
        <v>426</v>
      </c>
      <c r="C112" s="100" t="s">
        <v>426</v>
      </c>
      <c r="D112" s="101" t="s">
        <v>224</v>
      </c>
    </row>
    <row r="113" spans="2:4" x14ac:dyDescent="0.2">
      <c r="B113" s="100" t="s">
        <v>427</v>
      </c>
      <c r="C113" s="100" t="s">
        <v>427</v>
      </c>
      <c r="D113" s="101" t="s">
        <v>225</v>
      </c>
    </row>
    <row r="114" spans="2:4" x14ac:dyDescent="0.2">
      <c r="B114" s="100" t="s">
        <v>428</v>
      </c>
      <c r="C114" s="100" t="s">
        <v>428</v>
      </c>
      <c r="D114" s="101" t="s">
        <v>226</v>
      </c>
    </row>
    <row r="115" spans="2:4" x14ac:dyDescent="0.2">
      <c r="B115" s="100" t="s">
        <v>510</v>
      </c>
      <c r="C115" s="100" t="s">
        <v>510</v>
      </c>
      <c r="D115" s="101" t="s">
        <v>111</v>
      </c>
    </row>
    <row r="116" spans="2:4" x14ac:dyDescent="0.2">
      <c r="B116" s="100" t="s">
        <v>511</v>
      </c>
      <c r="C116" s="100" t="s">
        <v>511</v>
      </c>
      <c r="D116" s="101" t="s">
        <v>112</v>
      </c>
    </row>
    <row r="117" spans="2:4" x14ac:dyDescent="0.2">
      <c r="B117" s="100" t="s">
        <v>164</v>
      </c>
      <c r="C117" s="100" t="s">
        <v>164</v>
      </c>
      <c r="D117" s="101" t="s">
        <v>113</v>
      </c>
    </row>
    <row r="118" spans="2:4" x14ac:dyDescent="0.2">
      <c r="B118" s="102" t="s">
        <v>114</v>
      </c>
      <c r="C118" s="102" t="s">
        <v>114</v>
      </c>
      <c r="D118" s="101" t="s">
        <v>114</v>
      </c>
    </row>
    <row r="119" spans="2:4" x14ac:dyDescent="0.2">
      <c r="B119" s="100" t="s">
        <v>165</v>
      </c>
      <c r="C119" s="100" t="s">
        <v>165</v>
      </c>
      <c r="D119" s="101" t="s">
        <v>115</v>
      </c>
    </row>
    <row r="120" spans="2:4" ht="25.5" x14ac:dyDescent="0.2">
      <c r="B120" s="100" t="s">
        <v>540</v>
      </c>
      <c r="C120" s="100" t="s">
        <v>540</v>
      </c>
      <c r="D120" s="101" t="s">
        <v>121</v>
      </c>
    </row>
    <row r="121" spans="2:4" x14ac:dyDescent="0.2">
      <c r="B121" s="100" t="s">
        <v>541</v>
      </c>
      <c r="C121" s="100" t="s">
        <v>541</v>
      </c>
      <c r="D121" s="101" t="s">
        <v>239</v>
      </c>
    </row>
    <row r="122" spans="2:4" ht="25.5" x14ac:dyDescent="0.2">
      <c r="B122" s="100" t="s">
        <v>624</v>
      </c>
      <c r="C122" s="100" t="s">
        <v>624</v>
      </c>
      <c r="D122" s="101" t="s">
        <v>234</v>
      </c>
    </row>
    <row r="123" spans="2:4" x14ac:dyDescent="0.2">
      <c r="B123" s="102" t="s">
        <v>235</v>
      </c>
      <c r="C123" s="102" t="s">
        <v>235</v>
      </c>
      <c r="D123" s="101" t="s">
        <v>235</v>
      </c>
    </row>
    <row r="124" spans="2:4" x14ac:dyDescent="0.2">
      <c r="B124" s="102" t="s">
        <v>236</v>
      </c>
      <c r="C124" s="102" t="s">
        <v>236</v>
      </c>
      <c r="D124" s="101" t="s">
        <v>236</v>
      </c>
    </row>
    <row r="125" spans="2:4" x14ac:dyDescent="0.2">
      <c r="B125" s="100" t="s">
        <v>544</v>
      </c>
      <c r="C125" s="100" t="s">
        <v>544</v>
      </c>
      <c r="D125" s="101" t="s">
        <v>237</v>
      </c>
    </row>
    <row r="126" spans="2:4" x14ac:dyDescent="0.2">
      <c r="B126" s="79"/>
      <c r="D126" s="79"/>
    </row>
    <row r="127" spans="2:4" x14ac:dyDescent="0.2">
      <c r="B127" s="79"/>
      <c r="D127" s="79"/>
    </row>
    <row r="128" spans="2:4" x14ac:dyDescent="0.2">
      <c r="B128" s="79"/>
      <c r="D128" s="79"/>
    </row>
    <row r="129" spans="2:4" x14ac:dyDescent="0.2">
      <c r="B129" s="79"/>
      <c r="D129" s="79"/>
    </row>
    <row r="130" spans="2:4" x14ac:dyDescent="0.2">
      <c r="B130" s="79"/>
      <c r="D130" s="79"/>
    </row>
    <row r="131" spans="2:4" x14ac:dyDescent="0.2">
      <c r="B131" s="79"/>
      <c r="D131" s="79"/>
    </row>
    <row r="132" spans="2:4" x14ac:dyDescent="0.2">
      <c r="B132" s="79"/>
      <c r="D132" s="79"/>
    </row>
    <row r="133" spans="2:4" x14ac:dyDescent="0.2">
      <c r="B133" s="79"/>
    </row>
    <row r="134" spans="2:4" x14ac:dyDescent="0.2">
      <c r="B134" s="79"/>
    </row>
  </sheetData>
  <phoneticPr fontId="3"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L24"/>
  <sheetViews>
    <sheetView zoomScaleNormal="100" workbookViewId="0">
      <selection activeCell="A12" sqref="A12"/>
    </sheetView>
  </sheetViews>
  <sheetFormatPr defaultColWidth="12.42578125" defaultRowHeight="12.75" x14ac:dyDescent="0.2"/>
  <cols>
    <col min="1" max="1" width="26.140625" style="22" customWidth="1"/>
    <col min="2" max="2" width="9" style="22" customWidth="1"/>
    <col min="3" max="3" width="13" style="22" customWidth="1"/>
    <col min="4" max="5" width="12.42578125" style="22" customWidth="1"/>
    <col min="6" max="6" width="13.28515625" style="22" customWidth="1"/>
    <col min="7" max="12" width="12.7109375" style="22" bestFit="1" customWidth="1"/>
    <col min="13" max="16384" width="12.42578125" style="22"/>
  </cols>
  <sheetData>
    <row r="1" spans="1:12" x14ac:dyDescent="0.2">
      <c r="C1" s="490" t="s">
        <v>587</v>
      </c>
      <c r="D1" s="490"/>
      <c r="F1" s="490" t="s">
        <v>588</v>
      </c>
      <c r="G1" s="491"/>
      <c r="H1" s="491"/>
      <c r="I1" s="491"/>
      <c r="J1" s="491"/>
      <c r="K1" s="23"/>
    </row>
    <row r="2" spans="1:12" ht="51" x14ac:dyDescent="0.2">
      <c r="B2" s="24" t="s">
        <v>211</v>
      </c>
      <c r="C2" s="24" t="s">
        <v>212</v>
      </c>
      <c r="D2" s="24" t="s">
        <v>213</v>
      </c>
      <c r="E2" s="24" t="s">
        <v>214</v>
      </c>
      <c r="F2" s="24" t="s">
        <v>212</v>
      </c>
      <c r="G2" s="24" t="s">
        <v>213</v>
      </c>
      <c r="H2" s="25" t="s">
        <v>512</v>
      </c>
      <c r="I2" s="24" t="s">
        <v>513</v>
      </c>
      <c r="J2" s="24" t="s">
        <v>359</v>
      </c>
      <c r="K2" s="24" t="s">
        <v>360</v>
      </c>
      <c r="L2" s="24" t="s">
        <v>361</v>
      </c>
    </row>
    <row r="3" spans="1:12" x14ac:dyDescent="0.2">
      <c r="A3" s="26"/>
      <c r="B3" s="27"/>
      <c r="C3" s="28">
        <v>1</v>
      </c>
      <c r="D3" s="28">
        <v>2</v>
      </c>
      <c r="E3" s="28">
        <v>3</v>
      </c>
      <c r="F3" s="28">
        <v>4</v>
      </c>
      <c r="G3" s="28">
        <v>5</v>
      </c>
      <c r="H3" s="28">
        <v>6</v>
      </c>
      <c r="I3" s="28">
        <v>7</v>
      </c>
      <c r="J3" s="28">
        <v>8</v>
      </c>
      <c r="K3" s="29"/>
    </row>
    <row r="4" spans="1:12" ht="17.25" x14ac:dyDescent="0.3">
      <c r="A4" s="30" t="s">
        <v>218</v>
      </c>
      <c r="B4" s="31"/>
      <c r="C4" s="57">
        <v>3.9394181344878034</v>
      </c>
      <c r="D4" s="57">
        <v>2.36</v>
      </c>
      <c r="E4" s="33">
        <v>59.83479733992111</v>
      </c>
      <c r="F4" s="57">
        <v>1518.6285757813621</v>
      </c>
      <c r="G4" s="57">
        <v>1055.2500000000127</v>
      </c>
      <c r="H4" s="33">
        <v>908.66833066490824</v>
      </c>
      <c r="I4" s="33">
        <v>0.69487036977232397</v>
      </c>
      <c r="J4" s="33">
        <v>1.1613148212481941</v>
      </c>
      <c r="K4" s="58">
        <v>2.5940629574028007</v>
      </c>
      <c r="L4" s="59">
        <v>2.2337293126205635</v>
      </c>
    </row>
    <row r="5" spans="1:12" ht="17.25" x14ac:dyDescent="0.3">
      <c r="A5" s="30" t="s">
        <v>408</v>
      </c>
      <c r="B5" s="31"/>
      <c r="C5" s="57">
        <v>3.1625553111051885</v>
      </c>
      <c r="D5" s="57">
        <v>2.37</v>
      </c>
      <c r="E5" s="33">
        <v>74.844148852132903</v>
      </c>
      <c r="F5" s="57">
        <v>1417.9011262107308</v>
      </c>
      <c r="G5" s="57">
        <v>1253.7</v>
      </c>
      <c r="H5" s="33">
        <v>1061.2160294772282</v>
      </c>
      <c r="I5" s="33">
        <v>0.88419423387472174</v>
      </c>
      <c r="J5" s="33">
        <v>1.1813805720759747</v>
      </c>
      <c r="K5" s="58">
        <v>2.2304484090205627</v>
      </c>
      <c r="L5" s="59">
        <v>1.8880015989268548</v>
      </c>
    </row>
    <row r="6" spans="1:12" ht="17.25" x14ac:dyDescent="0.3">
      <c r="A6" s="30" t="s">
        <v>409</v>
      </c>
      <c r="B6" s="31"/>
      <c r="C6" s="57">
        <v>3.1091974753262868</v>
      </c>
      <c r="D6" s="57">
        <v>2.56</v>
      </c>
      <c r="E6" s="33">
        <v>82.244465893056372</v>
      </c>
      <c r="F6" s="57">
        <v>1380.6833709894524</v>
      </c>
      <c r="G6" s="57">
        <v>1462.6499999997725</v>
      </c>
      <c r="H6" s="33">
        <v>1135.5356641445212</v>
      </c>
      <c r="I6" s="33">
        <v>1.0593667097993507</v>
      </c>
      <c r="J6" s="33">
        <v>1.2880705082052086</v>
      </c>
      <c r="K6" s="58">
        <v>2.2519265029592646</v>
      </c>
      <c r="L6" s="59">
        <v>1.7482944362239055</v>
      </c>
    </row>
    <row r="7" spans="1:12" ht="17.25" x14ac:dyDescent="0.3">
      <c r="A7" s="36" t="s">
        <v>410</v>
      </c>
      <c r="B7" s="37">
        <v>1</v>
      </c>
      <c r="C7" s="60">
        <v>3.5767939094179493</v>
      </c>
      <c r="D7" s="60">
        <v>3.18</v>
      </c>
      <c r="E7" s="38">
        <v>88.866496339138479</v>
      </c>
      <c r="F7" s="60">
        <v>1568.8121018703985</v>
      </c>
      <c r="G7" s="60">
        <v>1671.6000000000106</v>
      </c>
      <c r="H7" s="38">
        <v>1394.1483490766193</v>
      </c>
      <c r="I7" s="38">
        <v>1.0655195724249351</v>
      </c>
      <c r="J7" s="38">
        <v>1.1990115693980161</v>
      </c>
      <c r="K7" s="61">
        <v>2.2799377345148963</v>
      </c>
      <c r="L7" s="62">
        <v>1.9015143745940477</v>
      </c>
    </row>
    <row r="8" spans="1:12" ht="17.25" x14ac:dyDescent="0.3">
      <c r="A8" s="36" t="s">
        <v>411</v>
      </c>
      <c r="B8" s="37">
        <v>1</v>
      </c>
      <c r="C8" s="60">
        <v>3.9590753709881761</v>
      </c>
      <c r="D8" s="60">
        <v>3.76</v>
      </c>
      <c r="E8" s="38">
        <v>95.079920475122066</v>
      </c>
      <c r="F8" s="60">
        <v>1962.1698443742425</v>
      </c>
      <c r="G8" s="60">
        <v>2089.5</v>
      </c>
      <c r="H8" s="38">
        <v>1865.6295276178562</v>
      </c>
      <c r="I8" s="38">
        <v>1.064892524972201</v>
      </c>
      <c r="J8" s="38">
        <v>1.1199972819190915</v>
      </c>
      <c r="K8" s="61">
        <v>2.0177026888570744</v>
      </c>
      <c r="L8" s="62">
        <v>1.8015246299524796</v>
      </c>
    </row>
    <row r="9" spans="1:12" ht="17.25" x14ac:dyDescent="0.3">
      <c r="A9" s="30" t="s">
        <v>412</v>
      </c>
      <c r="B9" s="31"/>
      <c r="C9" s="57">
        <v>4.3085431777819103</v>
      </c>
      <c r="D9" s="57">
        <v>3.9</v>
      </c>
      <c r="E9" s="33">
        <v>90.517834893972363</v>
      </c>
      <c r="F9" s="57">
        <v>2214.2640538541091</v>
      </c>
      <c r="G9" s="57">
        <v>2507.4000000001024</v>
      </c>
      <c r="H9" s="33">
        <v>2004.3038803842417</v>
      </c>
      <c r="I9" s="33">
        <v>1.1323852706888169</v>
      </c>
      <c r="J9" s="33">
        <v>1.2510079058068844</v>
      </c>
      <c r="K9" s="58">
        <v>1.9458127273856682</v>
      </c>
      <c r="L9" s="59">
        <v>1.5553960277578287</v>
      </c>
    </row>
    <row r="10" spans="1:12" ht="17.25" x14ac:dyDescent="0.3">
      <c r="A10" s="30" t="s">
        <v>620</v>
      </c>
      <c r="B10" s="31"/>
      <c r="C10" s="57">
        <v>5.7544745854301338</v>
      </c>
      <c r="D10" s="57">
        <v>4</v>
      </c>
      <c r="E10" s="33">
        <v>69.560755928400212</v>
      </c>
      <c r="F10" s="57">
        <v>3030.8528182031264</v>
      </c>
      <c r="G10" s="57">
        <v>3134.2493914253396</v>
      </c>
      <c r="H10" s="33">
        <v>2108.2841314193161</v>
      </c>
      <c r="I10" s="33">
        <v>1.0341146797367458</v>
      </c>
      <c r="J10" s="33">
        <v>1.4866351952833485</v>
      </c>
      <c r="K10" s="58">
        <v>1.8986321443486442</v>
      </c>
      <c r="L10" s="59">
        <v>1.2771338593169594</v>
      </c>
    </row>
    <row r="11" spans="1:12" ht="17.25" x14ac:dyDescent="0.3">
      <c r="A11" s="30" t="s">
        <v>621</v>
      </c>
      <c r="B11" s="31"/>
      <c r="C11" s="57">
        <v>5.3092839936907685</v>
      </c>
      <c r="D11" s="57">
        <v>4.03</v>
      </c>
      <c r="E11" s="33">
        <v>75.877866645648311</v>
      </c>
      <c r="F11" s="57">
        <v>2400.835837612799</v>
      </c>
      <c r="G11" s="57">
        <v>2925.3000000000056</v>
      </c>
      <c r="H11" s="33">
        <v>1821.703015244773</v>
      </c>
      <c r="I11" s="33">
        <v>1.2184506554636789</v>
      </c>
      <c r="J11" s="33">
        <v>1.6058051040811105</v>
      </c>
      <c r="K11" s="58">
        <v>2.2114314983609624</v>
      </c>
      <c r="L11" s="59">
        <v>1.3771481313271885</v>
      </c>
    </row>
    <row r="12" spans="1:12" ht="17.25" x14ac:dyDescent="0.3">
      <c r="A12" s="36" t="s">
        <v>622</v>
      </c>
      <c r="B12" s="37">
        <v>1</v>
      </c>
      <c r="C12" s="60">
        <v>6.8606019069982604</v>
      </c>
      <c r="D12" s="60">
        <v>4.3</v>
      </c>
      <c r="E12" s="38">
        <v>62.6767163915124</v>
      </c>
      <c r="F12" s="60">
        <v>2450.0896731639091</v>
      </c>
      <c r="G12" s="60">
        <v>2925.3</v>
      </c>
      <c r="H12" s="38">
        <v>1535.6357557866763</v>
      </c>
      <c r="I12" s="38">
        <v>1.1939562996575659</v>
      </c>
      <c r="J12" s="38">
        <v>1.9049439223961162</v>
      </c>
      <c r="K12" s="61">
        <v>2.8001431874690783</v>
      </c>
      <c r="L12" s="62">
        <v>1.4699347075513614</v>
      </c>
    </row>
    <row r="13" spans="1:12" ht="17.25" x14ac:dyDescent="0.3">
      <c r="A13" s="30" t="s">
        <v>413</v>
      </c>
      <c r="B13" s="31"/>
      <c r="C13" s="57">
        <v>5.6143114705404651</v>
      </c>
      <c r="D13" s="57">
        <v>3.89</v>
      </c>
      <c r="E13" s="33">
        <v>69.210878414984364</v>
      </c>
      <c r="F13" s="57">
        <v>2432.8814338959951</v>
      </c>
      <c r="G13" s="57">
        <v>2743.6500000000096</v>
      </c>
      <c r="H13" s="33">
        <v>1683.8186111944854</v>
      </c>
      <c r="I13" s="33">
        <v>1.1277368316327494</v>
      </c>
      <c r="J13" s="33">
        <v>1.6294213532024626</v>
      </c>
      <c r="K13" s="58">
        <v>2.3076798533292089</v>
      </c>
      <c r="L13" s="59">
        <v>1.4162572797967192</v>
      </c>
    </row>
    <row r="14" spans="1:12" ht="17.25" x14ac:dyDescent="0.3">
      <c r="A14" s="30" t="s">
        <v>414</v>
      </c>
      <c r="B14" s="31"/>
      <c r="C14" s="57">
        <v>5.1710546980241539</v>
      </c>
      <c r="D14" s="57">
        <v>3.89</v>
      </c>
      <c r="E14" s="33">
        <v>75.143554122508235</v>
      </c>
      <c r="F14" s="57">
        <v>2261.2272942579762</v>
      </c>
      <c r="G14" s="57">
        <v>2321.5500000000002</v>
      </c>
      <c r="H14" s="33">
        <v>1699.1665556936707</v>
      </c>
      <c r="I14" s="33">
        <v>1.0266769757711682</v>
      </c>
      <c r="J14" s="33">
        <v>1.3662874850148208</v>
      </c>
      <c r="K14" s="58">
        <v>2.2868354327560163</v>
      </c>
      <c r="L14" s="59">
        <v>1.6737586033961291</v>
      </c>
    </row>
    <row r="15" spans="1:12" ht="17.25" x14ac:dyDescent="0.3">
      <c r="A15" s="30" t="s">
        <v>415</v>
      </c>
      <c r="B15" s="31"/>
      <c r="C15" s="57">
        <v>3.7720869313816019</v>
      </c>
      <c r="D15" s="57">
        <v>3.89</v>
      </c>
      <c r="E15" s="33">
        <v>103.20166566929601</v>
      </c>
      <c r="F15" s="57">
        <v>1970.353116790084</v>
      </c>
      <c r="G15" s="57">
        <v>2298.9889419488654</v>
      </c>
      <c r="H15" s="33">
        <v>2033.4372360942559</v>
      </c>
      <c r="I15" s="33">
        <v>1.1667903191353661</v>
      </c>
      <c r="J15" s="33">
        <v>1.1305925263592942</v>
      </c>
      <c r="K15" s="58">
        <v>1.9144217852314387</v>
      </c>
      <c r="L15" s="59">
        <v>1.6932906777618739</v>
      </c>
    </row>
    <row r="16" spans="1:12" ht="17.25" x14ac:dyDescent="0.3">
      <c r="A16" s="30" t="s">
        <v>416</v>
      </c>
      <c r="B16" s="31"/>
      <c r="C16" s="57">
        <v>4.229639654239687</v>
      </c>
      <c r="D16" s="57">
        <v>3.89</v>
      </c>
      <c r="E16" s="33">
        <v>92.037560196293285</v>
      </c>
      <c r="F16" s="57">
        <v>1955.7508240953878</v>
      </c>
      <c r="G16" s="57">
        <v>2298.4499999999998</v>
      </c>
      <c r="H16" s="33">
        <v>1800.0253420162946</v>
      </c>
      <c r="I16" s="33">
        <v>1.1752263998472934</v>
      </c>
      <c r="J16" s="33">
        <v>1.2768986893403378</v>
      </c>
      <c r="K16" s="58">
        <v>2.1626679647168565</v>
      </c>
      <c r="L16" s="59">
        <v>1.6936879822737685</v>
      </c>
    </row>
    <row r="17" spans="1:12" ht="17.25" x14ac:dyDescent="0.3">
      <c r="A17" s="30" t="s">
        <v>417</v>
      </c>
      <c r="B17" s="31"/>
      <c r="C17" s="57">
        <v>6.5328746253039798</v>
      </c>
      <c r="D17" s="57">
        <v>3.89</v>
      </c>
      <c r="E17" s="33">
        <v>59.588731854408152</v>
      </c>
      <c r="F17" s="57">
        <v>2310.8408444838074</v>
      </c>
      <c r="G17" s="57">
        <v>2321.5499999999674</v>
      </c>
      <c r="H17" s="33">
        <v>1377.0007544015969</v>
      </c>
      <c r="I17" s="33">
        <v>1.0046343111606859</v>
      </c>
      <c r="J17" s="33">
        <v>1.6859467887574566</v>
      </c>
      <c r="K17" s="58">
        <v>2.8270551997981865</v>
      </c>
      <c r="L17" s="59">
        <v>1.6768353655347137</v>
      </c>
    </row>
    <row r="18" spans="1:12" ht="17.25" x14ac:dyDescent="0.3">
      <c r="A18" s="36" t="s">
        <v>418</v>
      </c>
      <c r="B18" s="37">
        <v>1</v>
      </c>
      <c r="C18" s="60">
        <v>5.3429842736355875</v>
      </c>
      <c r="D18" s="60">
        <v>3.89</v>
      </c>
      <c r="E18" s="38">
        <v>72.859228915683843</v>
      </c>
      <c r="F18" s="60">
        <v>2262.3991375961068</v>
      </c>
      <c r="G18" s="60">
        <v>2298.4499999999998</v>
      </c>
      <c r="H18" s="38">
        <v>1648.3665666476047</v>
      </c>
      <c r="I18" s="38">
        <v>1.015934793204615</v>
      </c>
      <c r="J18" s="38">
        <v>1.3943803802539592</v>
      </c>
      <c r="K18" s="61">
        <v>2.3616452927544564</v>
      </c>
      <c r="L18" s="62">
        <v>1.6936879822737669</v>
      </c>
    </row>
    <row r="19" spans="1:12" ht="17.25" x14ac:dyDescent="0.3">
      <c r="A19" s="30" t="s">
        <v>419</v>
      </c>
      <c r="B19" s="31"/>
      <c r="C19" s="57">
        <v>4.8244951363863589</v>
      </c>
      <c r="D19" s="57">
        <v>3.81</v>
      </c>
      <c r="E19" s="33">
        <v>78.912772207590336</v>
      </c>
      <c r="F19" s="57">
        <v>2224.9431133551125</v>
      </c>
      <c r="G19" s="57">
        <v>2321.5500000000002</v>
      </c>
      <c r="H19" s="33">
        <v>1755.7642907903885</v>
      </c>
      <c r="I19" s="33">
        <v>1.0434199355772333</v>
      </c>
      <c r="J19" s="33">
        <v>1.3222446840828008</v>
      </c>
      <c r="K19" s="58">
        <v>2.1683678595769766</v>
      </c>
      <c r="L19" s="59">
        <v>1.6399142198715695</v>
      </c>
    </row>
    <row r="20" spans="1:12" ht="17.25" x14ac:dyDescent="0.3">
      <c r="A20" s="30" t="s">
        <v>420</v>
      </c>
      <c r="B20" s="31"/>
      <c r="C20" s="57">
        <v>4.6803346842365974</v>
      </c>
      <c r="D20" s="57">
        <v>3.81</v>
      </c>
      <c r="E20" s="33">
        <v>81.343389180378949</v>
      </c>
      <c r="F20" s="57">
        <v>2006.7672346826769</v>
      </c>
      <c r="G20" s="57">
        <v>1899.4499999999905</v>
      </c>
      <c r="H20" s="33">
        <v>1632.3724816522583</v>
      </c>
      <c r="I20" s="33">
        <v>0.94652233062811786</v>
      </c>
      <c r="J20" s="33">
        <v>1.163613097714929</v>
      </c>
      <c r="K20" s="58">
        <v>2.3322758132318633</v>
      </c>
      <c r="L20" s="59">
        <v>2.004339602065258</v>
      </c>
    </row>
    <row r="21" spans="1:12" x14ac:dyDescent="0.2">
      <c r="A21" s="30"/>
      <c r="C21" s="35"/>
      <c r="D21" s="35"/>
      <c r="F21" s="39"/>
      <c r="G21" s="39"/>
      <c r="H21" s="39"/>
    </row>
    <row r="22" spans="1:12" x14ac:dyDescent="0.2">
      <c r="A22" s="30" t="s">
        <v>362</v>
      </c>
      <c r="C22" s="32">
        <v>19.739455461039974</v>
      </c>
      <c r="D22" s="32">
        <v>15.135714285714263</v>
      </c>
      <c r="F22" s="34">
        <v>247304.12271013972</v>
      </c>
      <c r="G22" s="34">
        <v>269545.5</v>
      </c>
      <c r="H22" s="34">
        <v>193313.40597386268</v>
      </c>
    </row>
    <row r="23" spans="1:12" x14ac:dyDescent="0.2">
      <c r="A23" s="30" t="s">
        <v>201</v>
      </c>
      <c r="C23" s="32">
        <v>138.17618822727982</v>
      </c>
      <c r="D23" s="32">
        <v>105.95</v>
      </c>
    </row>
    <row r="24" spans="1:12" x14ac:dyDescent="0.2">
      <c r="A24" s="30" t="s">
        <v>202</v>
      </c>
      <c r="C24" s="32">
        <v>594.15760937730317</v>
      </c>
      <c r="D24" s="32">
        <v>455.5849999999993</v>
      </c>
    </row>
  </sheetData>
  <sheetProtection sheet="1" objects="1" scenarios="1"/>
  <mergeCells count="2">
    <mergeCell ref="C1:D1"/>
    <mergeCell ref="F1:J1"/>
  </mergeCells>
  <phoneticPr fontId="11"/>
  <pageMargins left="0.75" right="0.75" top="1" bottom="1" header="0.5" footer="0.5"/>
  <pageSetup paperSize="0" orientation="portrait" horizontalDpi="4294967292" verticalDpi="4294967292"/>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70"/>
  <sheetViews>
    <sheetView workbookViewId="0">
      <pane xSplit="2" ySplit="10" topLeftCell="C26" activePane="bottomRight" state="frozen"/>
      <selection activeCell="C5" sqref="C5"/>
      <selection pane="topRight" activeCell="C5" sqref="C5"/>
      <selection pane="bottomLeft" activeCell="C5" sqref="C5"/>
      <selection pane="bottomRight" activeCell="M12" sqref="M12:M69"/>
    </sheetView>
  </sheetViews>
  <sheetFormatPr defaultColWidth="8.7109375" defaultRowHeight="12.75" x14ac:dyDescent="0.2"/>
  <cols>
    <col min="1" max="1" width="8.7109375" style="20" hidden="1" customWidth="1"/>
    <col min="2" max="2" width="26.85546875" style="20" customWidth="1"/>
    <col min="3" max="3" width="20" style="20" customWidth="1"/>
    <col min="4" max="4" width="15.7109375" style="20" customWidth="1"/>
    <col min="5" max="5" width="17.42578125" style="20" customWidth="1"/>
    <col min="6" max="6" width="19.42578125" style="20" customWidth="1"/>
    <col min="7" max="7" width="15.7109375" style="20" customWidth="1"/>
    <col min="8" max="8" width="18.42578125" style="20" customWidth="1"/>
    <col min="9" max="9" width="19.7109375" style="20" customWidth="1"/>
    <col min="10" max="10" width="15.7109375" style="20" customWidth="1"/>
    <col min="11" max="11" width="18.42578125" style="20" customWidth="1"/>
    <col min="12" max="12" width="20.42578125" style="20" customWidth="1"/>
    <col min="13" max="13" width="15.7109375" style="20" customWidth="1"/>
    <col min="14" max="14" width="18.28515625" style="20" customWidth="1"/>
    <col min="15" max="16384" width="8.7109375" style="20"/>
  </cols>
  <sheetData>
    <row r="1" spans="1:14" ht="15.75" x14ac:dyDescent="0.25">
      <c r="B1" s="328" t="s">
        <v>660</v>
      </c>
    </row>
    <row r="2" spans="1:14" ht="15.75" x14ac:dyDescent="0.25">
      <c r="B2" s="10" t="s">
        <v>8</v>
      </c>
    </row>
    <row r="3" spans="1:14" ht="12.75" customHeight="1" x14ac:dyDescent="0.25">
      <c r="B3" s="10"/>
    </row>
    <row r="4" spans="1:14" x14ac:dyDescent="0.2">
      <c r="B4" s="275" t="s">
        <v>152</v>
      </c>
    </row>
    <row r="5" spans="1:14" ht="12.75" customHeight="1" x14ac:dyDescent="0.2">
      <c r="B5" s="276" t="s">
        <v>161</v>
      </c>
      <c r="C5" s="189"/>
    </row>
    <row r="6" spans="1:14" ht="12.75" customHeight="1" x14ac:dyDescent="0.2">
      <c r="B6" s="276" t="s">
        <v>25</v>
      </c>
      <c r="C6" s="189"/>
    </row>
    <row r="7" spans="1:14" ht="12.75" customHeight="1" x14ac:dyDescent="0.2">
      <c r="B7" s="276" t="s">
        <v>24</v>
      </c>
      <c r="C7" s="189"/>
    </row>
    <row r="8" spans="1:14" ht="12.75" customHeight="1" thickBot="1" x14ac:dyDescent="0.3">
      <c r="B8" s="328" t="s">
        <v>661</v>
      </c>
      <c r="C8" s="331">
        <f>'cost constraint'!D8</f>
        <v>1.4426966292134833</v>
      </c>
      <c r="D8" s="331">
        <f>'cost constraint'!D8</f>
        <v>1.4426966292134833</v>
      </c>
      <c r="E8" s="331">
        <f>'cost constraint'!D8</f>
        <v>1.4426966292134833</v>
      </c>
      <c r="F8" s="331">
        <f>'cost constraint'!D9</f>
        <v>1.3738140417457305</v>
      </c>
      <c r="G8" s="331">
        <f>'cost constraint'!D9</f>
        <v>1.3738140417457305</v>
      </c>
      <c r="H8" s="331">
        <f>'cost constraint'!D9</f>
        <v>1.3738140417457305</v>
      </c>
      <c r="I8" s="331">
        <f>'cost constraint'!D13</f>
        <v>1.4385382059800662</v>
      </c>
      <c r="J8" s="331">
        <f>'cost constraint'!D13</f>
        <v>1.4385382059800662</v>
      </c>
      <c r="K8" s="331">
        <f>'cost constraint'!D13</f>
        <v>1.4385382059800662</v>
      </c>
      <c r="L8" s="331">
        <f>'cost constraint'!D19</f>
        <v>1.4128440366972477</v>
      </c>
      <c r="M8" s="331">
        <f>'cost constraint'!D19</f>
        <v>1.4128440366972477</v>
      </c>
      <c r="N8" s="331">
        <f>'cost constraint'!D19</f>
        <v>1.4128440366972477</v>
      </c>
    </row>
    <row r="9" spans="1:14" s="14" customFormat="1" ht="15.75" x14ac:dyDescent="0.25">
      <c r="B9" s="10"/>
      <c r="C9" s="479" t="s">
        <v>557</v>
      </c>
      <c r="D9" s="349"/>
      <c r="E9" s="472"/>
      <c r="F9" s="480" t="s">
        <v>365</v>
      </c>
      <c r="G9" s="349"/>
      <c r="H9" s="472"/>
      <c r="I9" s="479" t="s">
        <v>366</v>
      </c>
      <c r="J9" s="349"/>
      <c r="K9" s="472"/>
      <c r="L9" s="479" t="s">
        <v>367</v>
      </c>
      <c r="M9" s="349"/>
      <c r="N9" s="472"/>
    </row>
    <row r="10" spans="1:14" s="14" customFormat="1" ht="13.5" thickBot="1" x14ac:dyDescent="0.25">
      <c r="B10" s="193" t="s">
        <v>591</v>
      </c>
      <c r="C10" s="194" t="s">
        <v>212</v>
      </c>
      <c r="D10" s="195" t="s">
        <v>363</v>
      </c>
      <c r="E10" s="196" t="s">
        <v>364</v>
      </c>
      <c r="F10" s="195" t="s">
        <v>212</v>
      </c>
      <c r="G10" s="195" t="s">
        <v>363</v>
      </c>
      <c r="H10" s="196" t="s">
        <v>364</v>
      </c>
      <c r="I10" s="194" t="s">
        <v>212</v>
      </c>
      <c r="J10" s="195" t="s">
        <v>363</v>
      </c>
      <c r="K10" s="196" t="s">
        <v>364</v>
      </c>
      <c r="L10" s="194" t="s">
        <v>212</v>
      </c>
      <c r="M10" s="195" t="s">
        <v>363</v>
      </c>
      <c r="N10" s="196" t="s">
        <v>364</v>
      </c>
    </row>
    <row r="11" spans="1:14" customFormat="1" ht="12" hidden="1" customHeight="1" x14ac:dyDescent="0.2">
      <c r="B11" s="2"/>
      <c r="C11" s="179" t="s">
        <v>399</v>
      </c>
      <c r="D11" s="156" t="s">
        <v>400</v>
      </c>
      <c r="E11" s="173" t="s">
        <v>402</v>
      </c>
      <c r="F11" s="156"/>
      <c r="G11" s="156"/>
      <c r="H11" s="173"/>
      <c r="I11" s="179" t="s">
        <v>257</v>
      </c>
      <c r="J11" s="156" t="s">
        <v>258</v>
      </c>
      <c r="K11" s="173" t="s">
        <v>259</v>
      </c>
      <c r="L11" s="179" t="s">
        <v>260</v>
      </c>
      <c r="M11" s="156" t="s">
        <v>110</v>
      </c>
      <c r="N11" s="173" t="s">
        <v>261</v>
      </c>
    </row>
    <row r="12" spans="1:14" ht="13.5" thickBot="1" x14ac:dyDescent="0.25">
      <c r="A12" s="75">
        <v>2</v>
      </c>
      <c r="B12" s="2" t="s">
        <v>577</v>
      </c>
      <c r="C12" s="198">
        <f>'Starting Values (old)'!C12*'Starting Values'!C$8</f>
        <v>4.4613871819823956</v>
      </c>
      <c r="D12" s="198">
        <f>'Starting Values (old)'!D12*'Starting Values'!D$8</f>
        <v>0.27784504912559482</v>
      </c>
      <c r="E12" s="198">
        <f>'Starting Values (old)'!E12*'Starting Values'!E$8</f>
        <v>3.9719492646928303</v>
      </c>
      <c r="F12" s="198">
        <f>'Starting Values (old)'!F12*'Starting Values'!F$8</f>
        <v>3.298122026549084</v>
      </c>
      <c r="G12" s="198">
        <f>'Starting Values (old)'!G12*'Starting Values'!G$8</f>
        <v>2.066626809399412E-2</v>
      </c>
      <c r="H12" s="198">
        <f>'Starting Values (old)'!H12*'Starting Values'!H$8</f>
        <v>3.1480927898316375</v>
      </c>
      <c r="I12" s="198">
        <f>'Starting Values (old)'!I12*'Starting Values'!I$8</f>
        <v>3.0647535002635817</v>
      </c>
      <c r="J12" s="198">
        <f>'Starting Values (old)'!J12*'Starting Values'!J$8</f>
        <v>3.3466811284463393E-3</v>
      </c>
      <c r="K12" s="198">
        <f>'Starting Values (old)'!K12*'Starting Values'!K$8</f>
        <v>1.9346054604011236</v>
      </c>
      <c r="L12" s="198">
        <f>'Starting Values (old)'!L12*'Starting Values'!L$8</f>
        <v>3.1951060611242581</v>
      </c>
      <c r="M12" s="198">
        <f>'Starting Values (old)'!M12*'Starting Values'!M$8</f>
        <v>7.3074287832099729E-3</v>
      </c>
      <c r="N12" s="198">
        <f>'Starting Values (old)'!N12*'Starting Values'!N$8</f>
        <v>2.3461197541537167</v>
      </c>
    </row>
    <row r="13" spans="1:14" ht="13.5" thickBot="1" x14ac:dyDescent="0.25">
      <c r="A13" s="75">
        <v>3</v>
      </c>
      <c r="B13" s="113" t="s">
        <v>327</v>
      </c>
      <c r="C13" s="198">
        <f>'Starting Values (old)'!C13*'Starting Values'!C$8</f>
        <v>2.8701489520323671</v>
      </c>
      <c r="D13" s="198">
        <f>'Starting Values (old)'!D13*'Starting Values'!D$8</f>
        <v>15.176946098796506</v>
      </c>
      <c r="E13" s="198">
        <f>'Starting Values (old)'!E13*'Starting Values'!E$8</f>
        <v>2.5552783371108991</v>
      </c>
      <c r="F13" s="198">
        <f>'Starting Values (old)'!F13*'Starting Values'!F$8</f>
        <v>3.8051959300482969</v>
      </c>
      <c r="G13" s="198">
        <f>'Starting Values (old)'!G13*'Starting Values'!G$8</f>
        <v>22.196460336004638</v>
      </c>
      <c r="H13" s="198">
        <f>'Starting Values (old)'!H13*'Starting Values'!H$8</f>
        <v>3.6321002603459789</v>
      </c>
      <c r="I13" s="198">
        <f>'Starting Values (old)'!I13*'Starting Values'!I$8</f>
        <v>2.6402901965550627</v>
      </c>
      <c r="J13" s="198">
        <f>'Starting Values (old)'!J13*'Starting Values'!J$8</f>
        <v>24.402349491656452</v>
      </c>
      <c r="K13" s="198">
        <f>'Starting Values (old)'!K13*'Starting Values'!K$8</f>
        <v>1.6666657957514945</v>
      </c>
      <c r="L13" s="198">
        <f>'Starting Values (old)'!L13*'Starting Values'!L$8</f>
        <v>2.5090334588256176</v>
      </c>
      <c r="M13" s="198">
        <f>'Starting Values (old)'!M13*'Starting Values'!M$8</f>
        <v>25.407306103402412</v>
      </c>
      <c r="N13" s="198">
        <f>'Starting Values (old)'!N13*'Starting Values'!N$8</f>
        <v>1.8423466542178368</v>
      </c>
    </row>
    <row r="14" spans="1:14" ht="13.5" thickBot="1" x14ac:dyDescent="0.25">
      <c r="A14" s="75">
        <v>4</v>
      </c>
      <c r="B14" s="2" t="s">
        <v>29</v>
      </c>
      <c r="C14" s="198">
        <f>'Starting Values (old)'!C14*'Starting Values'!C$8</f>
        <v>2.9185889837528203</v>
      </c>
      <c r="D14" s="198">
        <f>'Starting Values (old)'!D14*'Starting Values'!D$8</f>
        <v>0.20829367361660611</v>
      </c>
      <c r="E14" s="198">
        <f>'Starting Values (old)'!E14*'Starting Values'!E$8</f>
        <v>2.5984042395546005</v>
      </c>
      <c r="F14" s="198">
        <f>'Starting Values (old)'!F14*'Starting Values'!F$8</f>
        <v>2.5433814510431265</v>
      </c>
      <c r="G14" s="198">
        <f>'Starting Values (old)'!G14*'Starting Values'!G$8</f>
        <v>2.1056379041908106E-2</v>
      </c>
      <c r="H14" s="198">
        <f>'Starting Values (old)'!H14*'Starting Values'!H$8</f>
        <v>2.4276848289322186</v>
      </c>
      <c r="I14" s="198">
        <f>'Starting Values (old)'!I14*'Starting Values'!I$8</f>
        <v>5.1737098794629928</v>
      </c>
      <c r="J14" s="198">
        <f>'Starting Values (old)'!J14*'Starting Values'!J$8</f>
        <v>2.5163086475063169E-3</v>
      </c>
      <c r="K14" s="198">
        <f>'Starting Values (old)'!K14*'Starting Values'!K$8</f>
        <v>3.2658702836882387</v>
      </c>
      <c r="L14" s="198">
        <f>'Starting Values (old)'!L14*'Starting Values'!L$8</f>
        <v>3.9193582873432091</v>
      </c>
      <c r="M14" s="198">
        <f>'Starting Values (old)'!M14*'Starting Values'!M$8</f>
        <v>8.7080254709013209E-3</v>
      </c>
      <c r="N14" s="198">
        <f>'Starting Values (old)'!N14*'Starting Values'!N$8</f>
        <v>2.8779275947748815</v>
      </c>
    </row>
    <row r="15" spans="1:14" ht="13.5" thickBot="1" x14ac:dyDescent="0.25">
      <c r="A15" s="75">
        <v>5</v>
      </c>
      <c r="B15" s="113" t="s">
        <v>60</v>
      </c>
      <c r="C15" s="198">
        <f>'Starting Values (old)'!C15*'Starting Values'!C$8</f>
        <v>6.3635077715731807</v>
      </c>
      <c r="D15" s="198">
        <f>'Starting Values (old)'!D15*'Starting Values'!D$8</f>
        <v>0.27980232145830342</v>
      </c>
      <c r="E15" s="198">
        <f>'Starting Values (old)'!E15*'Starting Values'!E$8</f>
        <v>5.6653971025523377</v>
      </c>
      <c r="F15" s="198">
        <f>'Starting Values (old)'!F15*'Starting Values'!F$8</f>
        <v>6.7980430963494198</v>
      </c>
      <c r="G15" s="198">
        <f>'Starting Values (old)'!G15*'Starting Values'!G$8</f>
        <v>3.0766816607691688E-2</v>
      </c>
      <c r="H15" s="198">
        <f>'Starting Values (old)'!H15*'Starting Values'!H$8</f>
        <v>6.4888049272617936</v>
      </c>
      <c r="I15" s="198">
        <f>'Starting Values (old)'!I15*'Starting Values'!I$8</f>
        <v>2.6751324547507247</v>
      </c>
      <c r="J15" s="198">
        <f>'Starting Values (old)'!J15*'Starting Values'!J$8</f>
        <v>9.5506803166398502E-4</v>
      </c>
      <c r="K15" s="198">
        <f>'Starting Values (old)'!K15*'Starting Values'!K$8</f>
        <v>1.6886597417416811</v>
      </c>
      <c r="L15" s="198">
        <f>'Starting Values (old)'!L15*'Starting Values'!L$8</f>
        <v>3.4880424038216407</v>
      </c>
      <c r="M15" s="198">
        <f>'Starting Values (old)'!M15*'Starting Values'!M$8</f>
        <v>5.3869729304791098E-3</v>
      </c>
      <c r="N15" s="198">
        <f>'Starting Values (old)'!N15*'Starting Values'!N$8</f>
        <v>2.561218635744535</v>
      </c>
    </row>
    <row r="16" spans="1:14" ht="13.5" thickBot="1" x14ac:dyDescent="0.25">
      <c r="A16" s="75">
        <v>6</v>
      </c>
      <c r="B16" s="113" t="s">
        <v>61</v>
      </c>
      <c r="C16" s="198">
        <f>'Starting Values (old)'!C16*'Starting Values'!C$8</f>
        <v>3.3258542733298233</v>
      </c>
      <c r="D16" s="198">
        <f>'Starting Values (old)'!D16*'Starting Values'!D$8</f>
        <v>0.21665012261376118</v>
      </c>
      <c r="E16" s="198">
        <f>'Starting Values (old)'!E16*'Starting Values'!E$8</f>
        <v>2.9609903594061175</v>
      </c>
      <c r="F16" s="198">
        <f>'Starting Values (old)'!F16*'Starting Values'!F$8</f>
        <v>2.4719456885112447</v>
      </c>
      <c r="G16" s="198">
        <f>'Starting Values (old)'!G16*'Starting Values'!G$8</f>
        <v>2.7267719054569796E-2</v>
      </c>
      <c r="H16" s="198">
        <f>'Starting Values (old)'!H16*'Starting Values'!H$8</f>
        <v>2.3594986286787227</v>
      </c>
      <c r="I16" s="198">
        <f>'Starting Values (old)'!I16*'Starting Values'!I$8</f>
        <v>2.1401133503280505</v>
      </c>
      <c r="J16" s="198">
        <f>'Starting Values (old)'!J16*'Starting Values'!J$8</f>
        <v>1.0283346539649825E-3</v>
      </c>
      <c r="K16" s="198">
        <f>'Starting Values (old)'!K16*'Starting Values'!K$8</f>
        <v>1.3509324560901581</v>
      </c>
      <c r="L16" s="198">
        <f>'Starting Values (old)'!L16*'Starting Values'!L$8</f>
        <v>0.73871811605638737</v>
      </c>
      <c r="M16" s="198">
        <f>'Starting Values (old)'!M16*'Starting Values'!M$8</f>
        <v>2.3772025259851627E-3</v>
      </c>
      <c r="N16" s="198">
        <f>'Starting Values (old)'!N16*'Starting Values'!N$8</f>
        <v>0.54242993242649262</v>
      </c>
    </row>
    <row r="17" spans="1:14" ht="13.5" thickBot="1" x14ac:dyDescent="0.25">
      <c r="A17" s="75">
        <v>7</v>
      </c>
      <c r="B17" s="113" t="s">
        <v>425</v>
      </c>
      <c r="C17" s="198">
        <f>'Starting Values (old)'!C17*'Starting Values'!C$8</f>
        <v>1.9779384127682562</v>
      </c>
      <c r="D17" s="198">
        <f>'Starting Values (old)'!D17*'Starting Values'!D$8</f>
        <v>0.22336546703811386</v>
      </c>
      <c r="E17" s="198">
        <f>'Starting Values (old)'!E17*'Starting Values'!E$8</f>
        <v>1.7609480423332553</v>
      </c>
      <c r="F17" s="198">
        <f>'Starting Values (old)'!F17*'Starting Values'!F$8</f>
        <v>2.2331910349835078</v>
      </c>
      <c r="G17" s="198">
        <f>'Starting Values (old)'!G17*'Starting Values'!G$8</f>
        <v>2.5405262652804173E-2</v>
      </c>
      <c r="H17" s="198">
        <f>'Starting Values (old)'!H17*'Starting Values'!H$8</f>
        <v>2.1316047553595894</v>
      </c>
      <c r="I17" s="198">
        <f>'Starting Values (old)'!I17*'Starting Values'!I$8</f>
        <v>3.5024418839694356</v>
      </c>
      <c r="J17" s="198">
        <f>'Starting Values (old)'!J17*'Starting Values'!J$8</f>
        <v>5.6001663059633009E-3</v>
      </c>
      <c r="K17" s="198">
        <f>'Starting Values (old)'!K17*'Starting Values'!K$8</f>
        <v>2.2108933696893138</v>
      </c>
      <c r="L17" s="198">
        <f>'Starting Values (old)'!L17*'Starting Values'!L$8</f>
        <v>1.8183660246953672</v>
      </c>
      <c r="M17" s="198">
        <f>'Starting Values (old)'!M17*'Starting Values'!M$8</f>
        <v>5.2525790694223327E-3</v>
      </c>
      <c r="N17" s="198">
        <f>'Starting Values (old)'!N17*'Starting Values'!N$8</f>
        <v>1.3351996363208853</v>
      </c>
    </row>
    <row r="18" spans="1:14" ht="13.5" thickBot="1" x14ac:dyDescent="0.25">
      <c r="A18" s="75">
        <v>8</v>
      </c>
      <c r="B18" s="113" t="s">
        <v>324</v>
      </c>
      <c r="C18" s="198">
        <f>'Starting Values (old)'!C18*'Starting Values'!C$8</f>
        <v>1.540593967530743</v>
      </c>
      <c r="D18" s="198">
        <f>'Starting Values (old)'!D18*'Starting Values'!D$8</f>
        <v>0.17295735205857221</v>
      </c>
      <c r="E18" s="198">
        <f>'Starting Values (old)'!E18*'Starting Values'!E$8</f>
        <v>1.3715826102779372</v>
      </c>
      <c r="F18" s="198">
        <f>'Starting Values (old)'!F18*'Starting Values'!F$8</f>
        <v>1.1054614129764708</v>
      </c>
      <c r="G18" s="198">
        <f>'Starting Values (old)'!G18*'Starting Values'!G$8</f>
        <v>1.2640978440643037E-2</v>
      </c>
      <c r="H18" s="198">
        <f>'Starting Values (old)'!H18*'Starting Values'!H$8</f>
        <v>1.055174755698667</v>
      </c>
      <c r="I18" s="198">
        <f>'Starting Values (old)'!I18*'Starting Values'!I$8</f>
        <v>4.5748069222816747</v>
      </c>
      <c r="J18" s="198">
        <f>'Starting Values (old)'!J18*'Starting Values'!J$8</f>
        <v>2.0599828118099284E-3</v>
      </c>
      <c r="K18" s="198">
        <f>'Starting Values (old)'!K18*'Starting Values'!K$8</f>
        <v>2.8878167367671854</v>
      </c>
      <c r="L18" s="198">
        <f>'Starting Values (old)'!L18*'Starting Values'!L$8</f>
        <v>4.1270127314217522</v>
      </c>
      <c r="M18" s="198">
        <f>'Starting Values (old)'!M18*'Starting Values'!M$8</f>
        <v>1.2019351666226698E-2</v>
      </c>
      <c r="N18" s="198">
        <f>'Starting Values (old)'!N18*'Starting Values'!N$8</f>
        <v>3.0304052227378966</v>
      </c>
    </row>
    <row r="19" spans="1:14" ht="13.5" thickBot="1" x14ac:dyDescent="0.25">
      <c r="A19" s="75">
        <v>9</v>
      </c>
      <c r="B19" s="113" t="s">
        <v>616</v>
      </c>
      <c r="C19" s="198">
        <f>'Starting Values (old)'!C19*'Starting Values'!C$8</f>
        <v>0.49466944183915473</v>
      </c>
      <c r="D19" s="198">
        <f>'Starting Values (old)'!D19*'Starting Values'!D$8</f>
        <v>10.679084955305065</v>
      </c>
      <c r="E19" s="198">
        <f>'Starting Values (old)'!E19*'Starting Values'!E$8</f>
        <v>0.44040157144711056</v>
      </c>
      <c r="F19" s="198">
        <f>'Starting Values (old)'!F19*'Starting Values'!F$8</f>
        <v>0.56570309587029299</v>
      </c>
      <c r="G19" s="198">
        <f>'Starting Values (old)'!G19*'Starting Values'!G$8</f>
        <v>8.3097791896800555</v>
      </c>
      <c r="H19" s="198">
        <f>'Starting Values (old)'!H19*'Starting Values'!H$8</f>
        <v>0.5399696624197059</v>
      </c>
      <c r="I19" s="198">
        <f>'Starting Values (old)'!I19*'Starting Values'!I$8</f>
        <v>0.9259827761878493</v>
      </c>
      <c r="J19" s="198">
        <f>'Starting Values (old)'!J19*'Starting Values'!J$8</f>
        <v>5.6293325751562886</v>
      </c>
      <c r="K19" s="198">
        <f>'Starting Values (old)'!K19*'Starting Values'!K$8</f>
        <v>0.58452052828925261</v>
      </c>
      <c r="L19" s="198">
        <f>'Starting Values (old)'!L19*'Starting Values'!L$8</f>
        <v>0.27471419839459027</v>
      </c>
      <c r="M19" s="198">
        <f>'Starting Values (old)'!M19*'Starting Values'!M$8</f>
        <v>5.7609264000189029</v>
      </c>
      <c r="N19" s="198">
        <f>'Starting Values (old)'!N19*'Starting Values'!N$8</f>
        <v>0.20171862694700898</v>
      </c>
    </row>
    <row r="20" spans="1:14" ht="13.5" thickBot="1" x14ac:dyDescent="0.25">
      <c r="A20" s="75">
        <v>10</v>
      </c>
      <c r="B20" s="113" t="s">
        <v>617</v>
      </c>
      <c r="C20" s="198">
        <f>'Starting Values (old)'!C20*'Starting Values'!C$8</f>
        <v>6.2350533304980296</v>
      </c>
      <c r="D20" s="198">
        <f>'Starting Values (old)'!D20*'Starting Values'!D$8</f>
        <v>1.8810975992420942</v>
      </c>
      <c r="E20" s="198">
        <f>'Starting Values (old)'!E20*'Starting Values'!E$8</f>
        <v>5.5510347972954639</v>
      </c>
      <c r="F20" s="198">
        <f>'Starting Values (old)'!F20*'Starting Values'!F$8</f>
        <v>3.2329215472336932</v>
      </c>
      <c r="G20" s="198">
        <f>'Starting Values (old)'!G20*'Starting Values'!G$8</f>
        <v>9.8514996956175632E-2</v>
      </c>
      <c r="H20" s="198">
        <f>'Starting Values (old)'!H20*'Starting Values'!H$8</f>
        <v>3.0858582341741823</v>
      </c>
      <c r="I20" s="198">
        <f>'Starting Values (old)'!I20*'Starting Values'!I$8</f>
        <v>12.829314380858335</v>
      </c>
      <c r="J20" s="198">
        <f>'Starting Values (old)'!J20*'Starting Values'!J$8</f>
        <v>5.4550939118468127E-3</v>
      </c>
      <c r="K20" s="198">
        <f>'Starting Values (old)'!K20*'Starting Values'!K$8</f>
        <v>8.0984201999529812</v>
      </c>
      <c r="L20" s="198">
        <f>'Starting Values (old)'!L20*'Starting Values'!L$8</f>
        <v>5.4099548399918245</v>
      </c>
      <c r="M20" s="198">
        <f>'Starting Values (old)'!M20*'Starting Values'!M$8</f>
        <v>3.4562527870950641E-2</v>
      </c>
      <c r="N20" s="198">
        <f>'Starting Values (old)'!N20*'Starting Values'!N$8</f>
        <v>3.9724508909473482</v>
      </c>
    </row>
    <row r="21" spans="1:14" ht="13.5" thickBot="1" x14ac:dyDescent="0.25">
      <c r="A21" s="75">
        <v>11</v>
      </c>
      <c r="B21" s="113" t="s">
        <v>562</v>
      </c>
      <c r="C21" s="198">
        <f>'Starting Values (old)'!C21*'Starting Values'!C$8</f>
        <v>0.12972896170371417</v>
      </c>
      <c r="D21" s="198">
        <f>'Starting Values (old)'!D21*'Starting Values'!D$8</f>
        <v>3.5742632688331737</v>
      </c>
      <c r="E21" s="198">
        <f>'Starting Values (old)'!E21*'Starting Values'!E$8</f>
        <v>0.11549700418950661</v>
      </c>
      <c r="F21" s="198">
        <f>'Starting Values (old)'!F21*'Starting Values'!F$8</f>
        <v>0.34903648165109113</v>
      </c>
      <c r="G21" s="198">
        <f>'Starting Values (old)'!G21*'Starting Values'!G$8</f>
        <v>1.8333285844514241E-2</v>
      </c>
      <c r="H21" s="198">
        <f>'Starting Values (old)'!H21*'Starting Values'!H$8</f>
        <v>0.33315905913393584</v>
      </c>
      <c r="I21" s="198">
        <f>'Starting Values (old)'!I21*'Starting Values'!I$8</f>
        <v>0.29125156842803224</v>
      </c>
      <c r="J21" s="198">
        <f>'Starting Values (old)'!J21*'Starting Values'!J$8</f>
        <v>2.9694434667131914E-4</v>
      </c>
      <c r="K21" s="198">
        <f>'Starting Values (old)'!K21*'Starting Values'!K$8</f>
        <v>0.18385063418079234</v>
      </c>
      <c r="L21" s="198">
        <f>'Starting Values (old)'!L21*'Starting Values'!L$8</f>
        <v>0.60563738018519608</v>
      </c>
      <c r="M21" s="198">
        <f>'Starting Values (old)'!M21*'Starting Values'!M$8</f>
        <v>2.7140094915574737</v>
      </c>
      <c r="N21" s="198">
        <f>'Starting Values (old)'!N21*'Starting Values'!N$8</f>
        <v>0.4447106901379117</v>
      </c>
    </row>
    <row r="22" spans="1:14" ht="13.5" thickBot="1" x14ac:dyDescent="0.25">
      <c r="A22" s="75">
        <v>12</v>
      </c>
      <c r="B22" s="113" t="s">
        <v>571</v>
      </c>
      <c r="C22" s="198">
        <f>'Starting Values (old)'!C22*'Starting Values'!C$8</f>
        <v>0.25641554428988489</v>
      </c>
      <c r="D22" s="198">
        <f>'Starting Values (old)'!D22*'Starting Values'!D$8</f>
        <v>6.2858497309715058E-2</v>
      </c>
      <c r="E22" s="198">
        <f>'Starting Values (old)'!E22*'Starting Values'!E$8</f>
        <v>0.22828539444215379</v>
      </c>
      <c r="F22" s="198">
        <f>'Starting Values (old)'!F22*'Starting Values'!F$8</f>
        <v>1.0608551807294018</v>
      </c>
      <c r="G22" s="198">
        <f>'Starting Values (old)'!G22*'Starting Values'!G$8</f>
        <v>3.5543788687851588E-2</v>
      </c>
      <c r="H22" s="198">
        <f>'Starting Values (old)'!H22*'Starting Values'!H$8</f>
        <v>1.0125976293861261</v>
      </c>
      <c r="I22" s="198">
        <f>'Starting Values (old)'!I22*'Starting Values'!I$8</f>
        <v>3.6974478844595868</v>
      </c>
      <c r="J22" s="198">
        <f>'Starting Values (old)'!J22*'Starting Values'!J$8</f>
        <v>1.6112131111923763E-3</v>
      </c>
      <c r="K22" s="198">
        <f>'Starting Values (old)'!K22*'Starting Values'!K$8</f>
        <v>2.3339896230508921</v>
      </c>
      <c r="L22" s="198">
        <f>'Starting Values (old)'!L22*'Starting Values'!L$8</f>
        <v>3.4337158375341619</v>
      </c>
      <c r="M22" s="198">
        <f>'Starting Values (old)'!M22*'Starting Values'!M$8</f>
        <v>3.5482268455820497E-2</v>
      </c>
      <c r="N22" s="198">
        <f>'Starting Values (old)'!N22*'Starting Values'!N$8</f>
        <v>2.5213274309131228</v>
      </c>
    </row>
    <row r="23" spans="1:14" ht="13.5" thickBot="1" x14ac:dyDescent="0.25">
      <c r="A23" s="75">
        <v>13</v>
      </c>
      <c r="B23" s="113" t="s">
        <v>450</v>
      </c>
      <c r="C23" s="198">
        <f>'Starting Values (old)'!C23*'Starting Values'!C$8</f>
        <v>5.6266144269174249E-2</v>
      </c>
      <c r="D23" s="198">
        <f>'Starting Values (old)'!D23*'Starting Values'!D$8</f>
        <v>2.4727500458104072E-2</v>
      </c>
      <c r="E23" s="198">
        <f>'Starting Values (old)'!E23*'Starting Values'!E$8</f>
        <v>5.0093448795390655E-2</v>
      </c>
      <c r="F23" s="198">
        <f>'Starting Values (old)'!F23*'Starting Values'!F$8</f>
        <v>5.3579676771008992E-2</v>
      </c>
      <c r="G23" s="198">
        <f>'Starting Values (old)'!G23*'Starting Values'!G$8</f>
        <v>2.6577396545990166</v>
      </c>
      <c r="H23" s="198">
        <f>'Starting Values (old)'!H23*'Starting Values'!H$8</f>
        <v>5.1142375196108536E-2</v>
      </c>
      <c r="I23" s="198">
        <f>'Starting Values (old)'!I23*'Starting Values'!I$8</f>
        <v>0.45952191562173372</v>
      </c>
      <c r="J23" s="198">
        <f>'Starting Values (old)'!J23*'Starting Values'!J$8</f>
        <v>3.1449486689769768</v>
      </c>
      <c r="K23" s="198">
        <f>'Starting Values (old)'!K23*'Starting Values'!K$8</f>
        <v>0.29007018249896227</v>
      </c>
      <c r="L23" s="198">
        <f>'Starting Values (old)'!L23*'Starting Values'!L$8</f>
        <v>3.6114504692537394E-2</v>
      </c>
      <c r="M23" s="198">
        <f>'Starting Values (old)'!M23*'Starting Values'!M$8</f>
        <v>2.6544214037336884</v>
      </c>
      <c r="N23" s="198">
        <f>'Starting Values (old)'!N23*'Starting Values'!N$8</f>
        <v>2.651835377284021E-2</v>
      </c>
    </row>
    <row r="24" spans="1:14" ht="13.5" thickBot="1" x14ac:dyDescent="0.25">
      <c r="A24" s="75">
        <v>14</v>
      </c>
      <c r="B24" s="113" t="s">
        <v>451</v>
      </c>
      <c r="C24" s="198">
        <f>'Starting Values (old)'!C24*'Starting Values'!C$8</f>
        <v>0.50832505111888859</v>
      </c>
      <c r="D24" s="198">
        <f>'Starting Values (old)'!D24*'Starting Values'!D$8</f>
        <v>0.16271984164084974</v>
      </c>
      <c r="E24" s="198">
        <f>'Starting Values (old)'!E24*'Starting Values'!E$8</f>
        <v>0.45255908771393916</v>
      </c>
      <c r="F24" s="198">
        <f>'Starting Values (old)'!F24*'Starting Values'!F$8</f>
        <v>0.92789109097146283</v>
      </c>
      <c r="G24" s="198">
        <f>'Starting Values (old)'!G24*'Starting Values'!G$8</f>
        <v>8.1267308352613976E-2</v>
      </c>
      <c r="H24" s="198">
        <f>'Starting Values (old)'!H24*'Starting Values'!H$8</f>
        <v>0.88568198196495718</v>
      </c>
      <c r="I24" s="198">
        <f>'Starting Values (old)'!I24*'Starting Values'!I$8</f>
        <v>2.5096364886792215</v>
      </c>
      <c r="J24" s="198">
        <f>'Starting Values (old)'!J24*'Starting Values'!J$8</f>
        <v>9.6836679823250659E-4</v>
      </c>
      <c r="K24" s="198">
        <f>'Starting Values (old)'!K24*'Starting Values'!K$8</f>
        <v>1.5841915032328575</v>
      </c>
      <c r="L24" s="198">
        <f>'Starting Values (old)'!L24*'Starting Values'!L$8</f>
        <v>4.3119603737652605</v>
      </c>
      <c r="M24" s="198">
        <f>'Starting Values (old)'!M24*'Starting Values'!M$8</f>
        <v>7.6561875247838376E-2</v>
      </c>
      <c r="N24" s="198">
        <f>'Starting Values (old)'!N24*'Starting Values'!N$8</f>
        <v>3.1662095775496994</v>
      </c>
    </row>
    <row r="25" spans="1:14" ht="13.5" thickBot="1" x14ac:dyDescent="0.25">
      <c r="A25" s="75">
        <v>15</v>
      </c>
      <c r="B25" s="113" t="s">
        <v>452</v>
      </c>
      <c r="C25" s="198">
        <f>'Starting Values (old)'!C25*'Starting Values'!C$8</f>
        <v>0.69247469204647971</v>
      </c>
      <c r="D25" s="198">
        <f>'Starting Values (old)'!D25*'Starting Values'!D$8</f>
        <v>0.23737139567133653</v>
      </c>
      <c r="E25" s="198">
        <f>'Starting Values (old)'!E25*'Starting Values'!E$8</f>
        <v>0.61650653299054148</v>
      </c>
      <c r="F25" s="198">
        <f>'Starting Values (old)'!F25*'Starting Values'!F$8</f>
        <v>0.32692674197909377</v>
      </c>
      <c r="G25" s="198">
        <f>'Starting Values (old)'!G25*'Starting Values'!G$8</f>
        <v>9.0088001178583645E-3</v>
      </c>
      <c r="H25" s="198">
        <f>'Starting Values (old)'!H25*'Starting Values'!H$8</f>
        <v>0.31205507587128578</v>
      </c>
      <c r="I25" s="198">
        <f>'Starting Values (old)'!I25*'Starting Values'!I$8</f>
        <v>0.93913448307740965</v>
      </c>
      <c r="J25" s="198">
        <f>'Starting Values (old)'!J25*'Starting Values'!J$8</f>
        <v>2.6296869705100536</v>
      </c>
      <c r="K25" s="198">
        <f>'Starting Values (old)'!K25*'Starting Values'!K$8</f>
        <v>0.5928224566368181</v>
      </c>
      <c r="L25" s="198">
        <f>'Starting Values (old)'!L25*'Starting Values'!L$8</f>
        <v>0.74980342138128353</v>
      </c>
      <c r="M25" s="198">
        <f>'Starting Values (old)'!M25*'Starting Values'!M$8</f>
        <v>2.0603885172624159E-3</v>
      </c>
      <c r="N25" s="198">
        <f>'Starting Values (old)'!N25*'Starting Values'!N$8</f>
        <v>0.55056971035749913</v>
      </c>
    </row>
    <row r="26" spans="1:14" ht="13.5" thickBot="1" x14ac:dyDescent="0.25">
      <c r="A26" s="75">
        <v>16</v>
      </c>
      <c r="B26" s="113" t="s">
        <v>453</v>
      </c>
      <c r="C26" s="198">
        <f>'Starting Values (old)'!C26*'Starting Values'!C$8</f>
        <v>0.89487471658599804</v>
      </c>
      <c r="D26" s="198">
        <f>'Starting Values (old)'!D26*'Starting Values'!D$8</f>
        <v>0.11214094101550039</v>
      </c>
      <c r="E26" s="198">
        <f>'Starting Values (old)'!E26*'Starting Values'!E$8</f>
        <v>0.79670219766861394</v>
      </c>
      <c r="F26" s="198">
        <f>'Starting Values (old)'!F26*'Starting Values'!F$8</f>
        <v>0.91211012803651725</v>
      </c>
      <c r="G26" s="198">
        <f>'Starting Values (old)'!G26*'Starting Values'!G$8</f>
        <v>1.3387686125493738E-2</v>
      </c>
      <c r="H26" s="198">
        <f>'Starting Values (old)'!H26*'Starting Values'!H$8</f>
        <v>0.87061888386482911</v>
      </c>
      <c r="I26" s="198">
        <f>'Starting Values (old)'!I26*'Starting Values'!I$8</f>
        <v>5.5203717589115939</v>
      </c>
      <c r="J26" s="198">
        <f>'Starting Values (old)'!J26*'Starting Values'!J$8</f>
        <v>3.076814598538701E-3</v>
      </c>
      <c r="K26" s="198">
        <f>'Starting Values (old)'!K26*'Starting Values'!K$8</f>
        <v>3.4846983117291557</v>
      </c>
      <c r="L26" s="198">
        <f>'Starting Values (old)'!L26*'Starting Values'!L$8</f>
        <v>3.3248973458159403</v>
      </c>
      <c r="M26" s="198">
        <f>'Starting Values (old)'!M26*'Starting Values'!M$8</f>
        <v>9.6926134798603486E-3</v>
      </c>
      <c r="N26" s="198">
        <f>'Starting Values (old)'!N26*'Starting Values'!N$8</f>
        <v>2.4414236004445025</v>
      </c>
    </row>
    <row r="27" spans="1:14" ht="13.5" thickBot="1" x14ac:dyDescent="0.25">
      <c r="A27" s="75">
        <v>17</v>
      </c>
      <c r="B27" s="113" t="s">
        <v>445</v>
      </c>
      <c r="C27" s="198">
        <f>'Starting Values (old)'!C27*'Starting Values'!C$8</f>
        <v>9.8290795409910741E-3</v>
      </c>
      <c r="D27" s="198">
        <f>'Starting Values (old)'!D27*'Starting Values'!D$8</f>
        <v>0.72243879113753662</v>
      </c>
      <c r="E27" s="198">
        <f>'Starting Values (old)'!E27*'Starting Values'!E$8</f>
        <v>8.7507772051515446E-3</v>
      </c>
      <c r="F27" s="198">
        <f>'Starting Values (old)'!F27*'Starting Values'!F$8</f>
        <v>9.359783073875234E-3</v>
      </c>
      <c r="G27" s="198">
        <f>'Starting Values (old)'!G27*'Starting Values'!G$8</f>
        <v>2.456947970778363</v>
      </c>
      <c r="H27" s="198">
        <f>'Starting Values (old)'!H27*'Starting Values'!H$8</f>
        <v>8.934013166300386E-3</v>
      </c>
      <c r="I27" s="198">
        <f>'Starting Values (old)'!I27*'Starting Values'!I$8</f>
        <v>0.1560917959345143</v>
      </c>
      <c r="J27" s="198">
        <f>'Starting Values (old)'!J27*'Starting Values'!J$8</f>
        <v>11.472769946680806</v>
      </c>
      <c r="K27" s="198">
        <f>'Starting Values (old)'!K27*'Starting Values'!K$8</f>
        <v>9.8531918052384343E-2</v>
      </c>
      <c r="L27" s="198">
        <f>'Starting Values (old)'!L27*'Starting Values'!L$8</f>
        <v>0.36848864160966016</v>
      </c>
      <c r="M27" s="198">
        <f>'Starting Values (old)'!M27*'Starting Values'!M$8</f>
        <v>14.314016521031769</v>
      </c>
      <c r="N27" s="198">
        <f>'Starting Values (old)'!N27*'Starting Values'!N$8</f>
        <v>0.2705758321391985</v>
      </c>
    </row>
    <row r="28" spans="1:14" ht="13.5" thickBot="1" x14ac:dyDescent="0.25">
      <c r="A28" s="75">
        <v>18</v>
      </c>
      <c r="B28" s="113" t="s">
        <v>446</v>
      </c>
      <c r="C28" s="198">
        <f>'Starting Values (old)'!C28*'Starting Values'!C$8</f>
        <v>6.1342482599089294</v>
      </c>
      <c r="D28" s="198">
        <f>'Starting Values (old)'!D28*'Starting Values'!D$8</f>
        <v>3.815447457680464</v>
      </c>
      <c r="E28" s="198">
        <f>'Starting Values (old)'!E28*'Starting Values'!E$8</f>
        <v>5.4612885794328454</v>
      </c>
      <c r="F28" s="198">
        <f>'Starting Values (old)'!F28*'Starting Values'!F$8</f>
        <v>4.655945663664653</v>
      </c>
      <c r="G28" s="198">
        <f>'Starting Values (old)'!G28*'Starting Values'!G$8</f>
        <v>0.43263459525265008</v>
      </c>
      <c r="H28" s="198">
        <f>'Starting Values (old)'!H28*'Starting Values'!H$8</f>
        <v>4.4441499907045472</v>
      </c>
      <c r="I28" s="198">
        <f>'Starting Values (old)'!I28*'Starting Values'!I$8</f>
        <v>5.2066738483438497</v>
      </c>
      <c r="J28" s="198">
        <f>'Starting Values (old)'!J28*'Starting Values'!J$8</f>
        <v>2.8139972195350567E-3</v>
      </c>
      <c r="K28" s="198">
        <f>'Starting Values (old)'!K28*'Starting Values'!K$8</f>
        <v>3.2866785719201999</v>
      </c>
      <c r="L28" s="198">
        <f>'Starting Values (old)'!L28*'Starting Values'!L$8</f>
        <v>4.7291647885847397</v>
      </c>
      <c r="M28" s="198">
        <f>'Starting Values (old)'!M28*'Starting Values'!M$8</f>
        <v>4.4957482647643356E-2</v>
      </c>
      <c r="N28" s="198">
        <f>'Starting Values (old)'!N28*'Starting Values'!N$8</f>
        <v>3.472556691042298</v>
      </c>
    </row>
    <row r="29" spans="1:14" ht="13.5" thickBot="1" x14ac:dyDescent="0.25">
      <c r="A29" s="75">
        <v>19</v>
      </c>
      <c r="B29" s="2" t="s">
        <v>578</v>
      </c>
      <c r="C29" s="198">
        <f>'Starting Values (old)'!C29*'Starting Values'!C$8</f>
        <v>2.492520393686303</v>
      </c>
      <c r="D29" s="198">
        <f>'Starting Values (old)'!D29*'Starting Values'!D$8</f>
        <v>0.13869792750349758</v>
      </c>
      <c r="E29" s="198">
        <f>'Starting Values (old)'!E29*'Starting Values'!E$8</f>
        <v>2.2190776413481119</v>
      </c>
      <c r="F29" s="198">
        <f>'Starting Values (old)'!F29*'Starting Values'!F$8</f>
        <v>1.8306974110522938</v>
      </c>
      <c r="G29" s="198">
        <f>'Starting Values (old)'!G29*'Starting Values'!G$8</f>
        <v>9.5269896047518524E-3</v>
      </c>
      <c r="H29" s="198">
        <f>'Starting Values (old)'!H29*'Starting Values'!H$8</f>
        <v>1.7474202815131652</v>
      </c>
      <c r="I29" s="198">
        <f>'Starting Values (old)'!I29*'Starting Values'!I$8</f>
        <v>2.3259150649235241</v>
      </c>
      <c r="J29" s="198">
        <f>'Starting Values (old)'!J29*'Starting Values'!J$8</f>
        <v>1.5976391562331483E-3</v>
      </c>
      <c r="K29" s="198">
        <f>'Starting Values (old)'!K29*'Starting Values'!K$8</f>
        <v>1.4682185646066768</v>
      </c>
      <c r="L29" s="198">
        <f>'Starting Values (old)'!L29*'Starting Values'!L$8</f>
        <v>2.0839562116326396</v>
      </c>
      <c r="M29" s="198">
        <f>'Starting Values (old)'!M29*'Starting Values'!M$8</f>
        <v>2.7601612600632879E-3</v>
      </c>
      <c r="N29" s="198">
        <f>'Starting Values (old)'!N29*'Starting Values'!N$8</f>
        <v>1.5302186348024762</v>
      </c>
    </row>
    <row r="30" spans="1:14" ht="13.5" thickBot="1" x14ac:dyDescent="0.25">
      <c r="A30" s="75">
        <v>20</v>
      </c>
      <c r="B30" s="113" t="s">
        <v>447</v>
      </c>
      <c r="C30" s="198">
        <f>'Starting Values (old)'!C30*'Starting Values'!C$8</f>
        <v>1.4354054990879008</v>
      </c>
      <c r="D30" s="198">
        <f>'Starting Values (old)'!D30*'Starting Values'!D$8</f>
        <v>3.7679469709846098</v>
      </c>
      <c r="E30" s="198">
        <f>'Starting Values (old)'!E30*'Starting Values'!E$8</f>
        <v>1.2779338766345003</v>
      </c>
      <c r="F30" s="198">
        <f>'Starting Values (old)'!F30*'Starting Values'!F$8</f>
        <v>1.3022783030585259</v>
      </c>
      <c r="G30" s="198">
        <f>'Starting Values (old)'!G30*'Starting Values'!G$8</f>
        <v>6.7034295755230178E-2</v>
      </c>
      <c r="H30" s="198">
        <f>'Starting Values (old)'!H30*'Starting Values'!H$8</f>
        <v>1.2430385847494998</v>
      </c>
      <c r="I30" s="198">
        <f>'Starting Values (old)'!I30*'Starting Values'!I$8</f>
        <v>3.6241361194808008</v>
      </c>
      <c r="J30" s="198">
        <f>'Starting Values (old)'!J30*'Starting Values'!J$8</f>
        <v>2.1868328561615883E-3</v>
      </c>
      <c r="K30" s="198">
        <f>'Starting Values (old)'!K30*'Starting Values'!K$8</f>
        <v>2.287712054291315</v>
      </c>
      <c r="L30" s="198">
        <f>'Starting Values (old)'!L30*'Starting Values'!L$8</f>
        <v>3.6594891259661457</v>
      </c>
      <c r="M30" s="198">
        <f>'Starting Values (old)'!M30*'Starting Values'!M$8</f>
        <v>2.2427883139873862E-2</v>
      </c>
      <c r="N30" s="198">
        <f>'Starting Values (old)'!N30*'Starting Values'!N$8</f>
        <v>2.6871094618746048</v>
      </c>
    </row>
    <row r="31" spans="1:14" ht="13.5" thickBot="1" x14ac:dyDescent="0.25">
      <c r="A31" s="75">
        <v>21</v>
      </c>
      <c r="B31" s="2" t="s">
        <v>579</v>
      </c>
      <c r="C31" s="198">
        <f>'Starting Values (old)'!C31*'Starting Values'!C$8</f>
        <v>1.3113838834073634</v>
      </c>
      <c r="D31" s="198">
        <f>'Starting Values (old)'!D31*'Starting Values'!D$8</f>
        <v>0.92727804049189189</v>
      </c>
      <c r="E31" s="198">
        <f>'Starting Values (old)'!E31*'Starting Values'!E$8</f>
        <v>1.1675180922350303</v>
      </c>
      <c r="F31" s="198">
        <f>'Starting Values (old)'!F31*'Starting Values'!F$8</f>
        <v>1.2540208060105944</v>
      </c>
      <c r="G31" s="198">
        <f>'Starting Values (old)'!G31*'Starting Values'!G$8</f>
        <v>1.8788336298609056</v>
      </c>
      <c r="H31" s="198">
        <f>'Starting Values (old)'!H31*'Starting Values'!H$8</f>
        <v>1.1969762870876781</v>
      </c>
      <c r="I31" s="198">
        <f>'Starting Values (old)'!I31*'Starting Values'!I$8</f>
        <v>2.4954867938235625</v>
      </c>
      <c r="J31" s="198">
        <f>'Starting Values (old)'!J31*'Starting Values'!J$8</f>
        <v>1.9349766170869678</v>
      </c>
      <c r="K31" s="198">
        <f>'Starting Values (old)'!K31*'Starting Values'!K$8</f>
        <v>1.5752596015551485</v>
      </c>
      <c r="L31" s="198">
        <f>'Starting Values (old)'!L31*'Starting Values'!L$8</f>
        <v>2.4639478880901797</v>
      </c>
      <c r="M31" s="198">
        <f>'Starting Values (old)'!M31*'Starting Values'!M$8</f>
        <v>6.9505823717141051E-3</v>
      </c>
      <c r="N31" s="198">
        <f>'Starting Values (old)'!N31*'Starting Values'!N$8</f>
        <v>1.8092409775654359</v>
      </c>
    </row>
    <row r="32" spans="1:14" ht="13.5" thickBot="1" x14ac:dyDescent="0.25">
      <c r="A32" s="75">
        <v>22</v>
      </c>
      <c r="B32" s="2" t="s">
        <v>580</v>
      </c>
      <c r="C32" s="198">
        <f>'Starting Values (old)'!C32*'Starting Values'!C$8</f>
        <v>4.3137762398040049</v>
      </c>
      <c r="D32" s="198">
        <f>'Starting Values (old)'!D32*'Starting Values'!D$8</f>
        <v>0.42414599561826805</v>
      </c>
      <c r="E32" s="198">
        <f>'Starting Values (old)'!E32*'Starting Values'!E$8</f>
        <v>3.8405320284543123</v>
      </c>
      <c r="F32" s="198">
        <f>'Starting Values (old)'!F32*'Starting Values'!F$8</f>
        <v>9.0178802915640723</v>
      </c>
      <c r="G32" s="198">
        <f>'Starting Values (old)'!G32*'Starting Values'!G$8</f>
        <v>0.1104099698532464</v>
      </c>
      <c r="H32" s="198">
        <f>'Starting Values (old)'!H32*'Starting Values'!H$8</f>
        <v>8.6076632995723354</v>
      </c>
      <c r="I32" s="198">
        <f>'Starting Values (old)'!I32*'Starting Values'!I$8</f>
        <v>11.220086650909931</v>
      </c>
      <c r="J32" s="198">
        <f>'Starting Values (old)'!J32*'Starting Values'!J$8</f>
        <v>6.2042908846787811E-3</v>
      </c>
      <c r="K32" s="198">
        <f>'Starting Values (old)'!K32*'Starting Values'!K$8</f>
        <v>7.0826057949382433</v>
      </c>
      <c r="L32" s="198">
        <f>'Starting Values (old)'!L32*'Starting Values'!L$8</f>
        <v>9.866168833859188</v>
      </c>
      <c r="M32" s="198">
        <f>'Starting Values (old)'!M32*'Starting Values'!M$8</f>
        <v>3.2689368472565206E-2</v>
      </c>
      <c r="N32" s="198">
        <f>'Starting Values (old)'!N32*'Starting Values'!N$8</f>
        <v>7.2445837966292741</v>
      </c>
    </row>
    <row r="33" spans="1:14" ht="13.5" thickBot="1" x14ac:dyDescent="0.25">
      <c r="A33" s="75">
        <v>23</v>
      </c>
      <c r="B33" s="113" t="s">
        <v>178</v>
      </c>
      <c r="C33" s="198">
        <f>'Starting Values (old)'!C33*'Starting Values'!C$8</f>
        <v>45.169237409081845</v>
      </c>
      <c r="D33" s="198">
        <f>'Starting Values (old)'!D33*'Starting Values'!D$8</f>
        <v>8.3246741190363416</v>
      </c>
      <c r="E33" s="198">
        <f>'Starting Values (old)'!E33*'Starting Values'!E$8</f>
        <v>40.213931675398456</v>
      </c>
      <c r="F33" s="198">
        <f>'Starting Values (old)'!F33*'Starting Values'!F$8</f>
        <v>35.720354989726687</v>
      </c>
      <c r="G33" s="198">
        <f>'Starting Values (old)'!G33*'Starting Values'!G$8</f>
        <v>0.8441084770617211</v>
      </c>
      <c r="H33" s="198">
        <f>'Starting Values (old)'!H33*'Starting Values'!H$8</f>
        <v>34.095461322589607</v>
      </c>
      <c r="I33" s="198">
        <f>'Starting Values (old)'!I33*'Starting Values'!I$8</f>
        <v>115.38930404151353</v>
      </c>
      <c r="J33" s="198">
        <f>'Starting Values (old)'!J33*'Starting Values'!J$8</f>
        <v>3.3323380466567999E-2</v>
      </c>
      <c r="K33" s="198">
        <f>'Starting Values (old)'!K33*'Starting Values'!K$8</f>
        <v>72.838738140407884</v>
      </c>
      <c r="L33" s="198">
        <f>'Starting Values (old)'!L33*'Starting Values'!L$8</f>
        <v>59.363282860205771</v>
      </c>
      <c r="M33" s="198">
        <f>'Starting Values (old)'!M33*'Starting Values'!M$8</f>
        <v>0.29319016724571989</v>
      </c>
      <c r="N33" s="198">
        <f>'Starting Values (old)'!N33*'Starting Values'!N$8</f>
        <v>43.589592309413845</v>
      </c>
    </row>
    <row r="34" spans="1:14" ht="13.5" thickBot="1" x14ac:dyDescent="0.25">
      <c r="A34" s="75">
        <v>25</v>
      </c>
      <c r="B34" s="2" t="s">
        <v>581</v>
      </c>
      <c r="C34" s="198">
        <f>'Starting Values (old)'!C34*'Starting Values'!C$8</f>
        <v>0.28715759268830654</v>
      </c>
      <c r="D34" s="198">
        <f>'Starting Values (old)'!D34*'Starting Values'!D$8</f>
        <v>5.3417735817335874</v>
      </c>
      <c r="E34" s="198">
        <f>'Starting Values (old)'!E34*'Starting Values'!E$8</f>
        <v>0.25565487652261398</v>
      </c>
      <c r="F34" s="198">
        <f>'Starting Values (old)'!F34*'Starting Values'!F$8</f>
        <v>0.64293092562903764</v>
      </c>
      <c r="G34" s="198">
        <f>'Starting Values (old)'!G34*'Starting Values'!G$8</f>
        <v>7.185684511381079</v>
      </c>
      <c r="H34" s="198">
        <f>'Starting Values (old)'!H34*'Starting Values'!H$8</f>
        <v>0.61368445286129325</v>
      </c>
      <c r="I34" s="198">
        <f>'Starting Values (old)'!I34*'Starting Values'!I$8</f>
        <v>2.1275247351650597</v>
      </c>
      <c r="J34" s="198">
        <f>'Starting Values (old)'!J34*'Starting Values'!J$8</f>
        <v>16.517200145599485</v>
      </c>
      <c r="K34" s="198">
        <f>'Starting Values (old)'!K34*'Starting Values'!K$8</f>
        <v>1.342985975686068</v>
      </c>
      <c r="L34" s="198">
        <f>'Starting Values (old)'!L34*'Starting Values'!L$8</f>
        <v>1.7792499832440503</v>
      </c>
      <c r="M34" s="198">
        <f>'Starting Values (old)'!M34*'Starting Values'!M$8</f>
        <v>7.070791234721443</v>
      </c>
      <c r="N34" s="198">
        <f>'Starting Values (old)'!N34*'Starting Values'!N$8</f>
        <v>1.3064772979078254</v>
      </c>
    </row>
    <row r="35" spans="1:14" ht="13.5" thickBot="1" x14ac:dyDescent="0.25">
      <c r="A35" s="75">
        <v>27</v>
      </c>
      <c r="B35" s="2" t="s">
        <v>15</v>
      </c>
      <c r="C35" s="198">
        <f>'Starting Values (old)'!C35*'Starting Values'!C$8</f>
        <v>0.75512510061820415</v>
      </c>
      <c r="D35" s="198">
        <f>'Starting Values (old)'!D35*'Starting Values'!D$8</f>
        <v>3.9644147070591282</v>
      </c>
      <c r="E35" s="198">
        <f>'Starting Values (old)'!E35*'Starting Values'!E$8</f>
        <v>0.67228385831754744</v>
      </c>
      <c r="F35" s="198">
        <f>'Starting Values (old)'!F35*'Starting Values'!F$8</f>
        <v>0.79212683155614594</v>
      </c>
      <c r="G35" s="198">
        <f>'Starting Values (old)'!G35*'Starting Values'!G$8</f>
        <v>4.9904090196017963</v>
      </c>
      <c r="H35" s="198">
        <f>'Starting Values (old)'!H35*'Starting Values'!H$8</f>
        <v>0.75609354262228379</v>
      </c>
      <c r="I35" s="198">
        <f>'Starting Values (old)'!I35*'Starting Values'!I$8</f>
        <v>1.5385848663813069</v>
      </c>
      <c r="J35" s="198">
        <f>'Starting Values (old)'!J35*'Starting Values'!J$8</f>
        <v>4.846552022185775</v>
      </c>
      <c r="K35" s="198">
        <f>'Starting Values (old)'!K35*'Starting Values'!K$8</f>
        <v>0.97122156269201199</v>
      </c>
      <c r="L35" s="198">
        <f>'Starting Values (old)'!L35*'Starting Values'!L$8</f>
        <v>1.3265112546912112</v>
      </c>
      <c r="M35" s="198">
        <f>'Starting Values (old)'!M35*'Starting Values'!M$8</f>
        <v>8.3570376185964399</v>
      </c>
      <c r="N35" s="198">
        <f>'Starting Values (old)'!N35*'Starting Values'!N$8</f>
        <v>0.97403785639692142</v>
      </c>
    </row>
    <row r="36" spans="1:14" ht="13.5" thickBot="1" x14ac:dyDescent="0.25">
      <c r="A36" s="75">
        <v>28</v>
      </c>
      <c r="B36" s="113" t="s">
        <v>406</v>
      </c>
      <c r="C36" s="198">
        <f>'Starting Values (old)'!C36*'Starting Values'!C$8</f>
        <v>1.2385434733584739E-2</v>
      </c>
      <c r="D36" s="198">
        <f>'Starting Values (old)'!D36*'Starting Values'!D$8</f>
        <v>2.6009464959353839</v>
      </c>
      <c r="E36" s="198">
        <f>'Starting Values (old)'!E36*'Starting Values'!E$8</f>
        <v>1.1026686628239175E-2</v>
      </c>
      <c r="F36" s="198">
        <f>'Starting Values (old)'!F36*'Starting Values'!F$8</f>
        <v>7.0502890262948134E-2</v>
      </c>
      <c r="G36" s="198">
        <f>'Starting Values (old)'!G36*'Starting Values'!G$8</f>
        <v>7.1171801650801303</v>
      </c>
      <c r="H36" s="198">
        <f>'Starting Values (old)'!H36*'Starting Values'!H$8</f>
        <v>6.729576368382896E-2</v>
      </c>
      <c r="I36" s="198">
        <f>'Starting Values (old)'!I36*'Starting Values'!I$8</f>
        <v>0.24704502850450821</v>
      </c>
      <c r="J36" s="198">
        <f>'Starting Values (old)'!J36*'Starting Values'!J$8</f>
        <v>12.741413518742727</v>
      </c>
      <c r="K36" s="198">
        <f>'Starting Values (old)'!K36*'Starting Values'!K$8</f>
        <v>0.15594554702969374</v>
      </c>
      <c r="L36" s="198">
        <f>'Starting Values (old)'!L36*'Starting Values'!L$8</f>
        <v>4.2545950272889911E-2</v>
      </c>
      <c r="M36" s="198">
        <f>'Starting Values (old)'!M36*'Starting Values'!M$8</f>
        <v>1.9150785136971489</v>
      </c>
      <c r="N36" s="198">
        <f>'Starting Values (old)'!N36*'Starting Values'!N$8</f>
        <v>3.1240870407709075E-2</v>
      </c>
    </row>
    <row r="37" spans="1:14" ht="13.5" thickBot="1" x14ac:dyDescent="0.25">
      <c r="A37" s="75">
        <v>29</v>
      </c>
      <c r="B37" s="113" t="s">
        <v>407</v>
      </c>
      <c r="C37" s="198">
        <f>'Starting Values (old)'!C37*'Starting Values'!C$8</f>
        <v>4.4634010562612305</v>
      </c>
      <c r="D37" s="198">
        <f>'Starting Values (old)'!D37*'Starting Values'!D$8</f>
        <v>0.41978837812567793</v>
      </c>
      <c r="E37" s="198">
        <f>'Starting Values (old)'!E37*'Starting Values'!E$8</f>
        <v>3.9737422062454728</v>
      </c>
      <c r="F37" s="198">
        <f>'Starting Values (old)'!F37*'Starting Values'!F$8</f>
        <v>6.4359738344810555</v>
      </c>
      <c r="G37" s="198">
        <f>'Starting Values (old)'!G37*'Starting Values'!G$8</f>
        <v>6.9038736784949858E-2</v>
      </c>
      <c r="H37" s="198">
        <f>'Starting Values (old)'!H37*'Starting Values'!H$8</f>
        <v>6.1432059398586221</v>
      </c>
      <c r="I37" s="198">
        <f>'Starting Values (old)'!I37*'Starting Values'!I$8</f>
        <v>7.3400007843853095</v>
      </c>
      <c r="J37" s="198">
        <f>'Starting Values (old)'!J37*'Starting Values'!J$8</f>
        <v>5.1291421713378551E-3</v>
      </c>
      <c r="K37" s="198">
        <f>'Starting Values (old)'!K37*'Starting Values'!K$8</f>
        <v>4.6333271486920857</v>
      </c>
      <c r="L37" s="198">
        <f>'Starting Values (old)'!L37*'Starting Values'!L$8</f>
        <v>6.6563088520155969</v>
      </c>
      <c r="M37" s="198">
        <f>'Starting Values (old)'!M37*'Starting Values'!M$8</f>
        <v>3.4640654928415809E-2</v>
      </c>
      <c r="N37" s="198">
        <f>'Starting Values (old)'!N37*'Starting Values'!N$8</f>
        <v>4.887630453796918</v>
      </c>
    </row>
    <row r="38" spans="1:14" ht="13.5" thickBot="1" x14ac:dyDescent="0.25">
      <c r="A38" s="75">
        <v>30</v>
      </c>
      <c r="B38" s="113" t="s">
        <v>619</v>
      </c>
      <c r="C38" s="198">
        <f>'Starting Values (old)'!C38*'Starting Values'!C$8</f>
        <v>2.955626655878802</v>
      </c>
      <c r="D38" s="198">
        <f>'Starting Values (old)'!D38*'Starting Values'!D$8</f>
        <v>0.13465033639148427</v>
      </c>
      <c r="E38" s="198">
        <f>'Starting Values (old)'!E38*'Starting Values'!E$8</f>
        <v>2.631378681934506</v>
      </c>
      <c r="F38" s="198">
        <f>'Starting Values (old)'!F38*'Starting Values'!F$8</f>
        <v>3.594367665085386</v>
      </c>
      <c r="G38" s="198">
        <f>'Starting Values (old)'!G38*'Starting Values'!G$8</f>
        <v>1.8523005009456958E-2</v>
      </c>
      <c r="H38" s="198">
        <f>'Starting Values (old)'!H38*'Starting Values'!H$8</f>
        <v>3.4308624239409662</v>
      </c>
      <c r="I38" s="198">
        <f>'Starting Values (old)'!I38*'Starting Values'!I$8</f>
        <v>1.6750242832759117</v>
      </c>
      <c r="J38" s="198">
        <f>'Starting Values (old)'!J38*'Starting Values'!J$8</f>
        <v>9.7581413458509587E-4</v>
      </c>
      <c r="K38" s="198">
        <f>'Starting Values (old)'!K38*'Starting Values'!K$8</f>
        <v>1.0573480459199605</v>
      </c>
      <c r="L38" s="198">
        <f>'Starting Values (old)'!L38*'Starting Values'!L$8</f>
        <v>1.5229615396750606</v>
      </c>
      <c r="M38" s="198">
        <f>'Starting Values (old)'!M38*'Starting Values'!M$8</f>
        <v>8.0926257251071852E-3</v>
      </c>
      <c r="N38" s="198">
        <f>'Starting Values (old)'!N38*'Starting Values'!N$8</f>
        <v>1.1182884338402133</v>
      </c>
    </row>
    <row r="39" spans="1:14" ht="13.5" thickBot="1" x14ac:dyDescent="0.25">
      <c r="A39" s="75">
        <v>31</v>
      </c>
      <c r="B39" s="113" t="s">
        <v>62</v>
      </c>
      <c r="C39" s="198">
        <f>'Starting Values (old)'!C39*'Starting Values'!C$8</f>
        <v>0.56084156231196414</v>
      </c>
      <c r="D39" s="198">
        <f>'Starting Values (old)'!D39*'Starting Values'!D$8</f>
        <v>2.1532039656254609</v>
      </c>
      <c r="E39" s="198">
        <f>'Starting Values (old)'!E39*'Starting Values'!E$8</f>
        <v>0.49931425813716207</v>
      </c>
      <c r="F39" s="198">
        <f>'Starting Values (old)'!F39*'Starting Values'!F$8</f>
        <v>0.5234174980801467</v>
      </c>
      <c r="G39" s="198">
        <f>'Starting Values (old)'!G39*'Starting Values'!G$8</f>
        <v>1.1520460223370752</v>
      </c>
      <c r="H39" s="198">
        <f>'Starting Values (old)'!H39*'Starting Values'!H$8</f>
        <v>0.49960760654508851</v>
      </c>
      <c r="I39" s="198">
        <f>'Starting Values (old)'!I39*'Starting Values'!I$8</f>
        <v>0.23957450820656556</v>
      </c>
      <c r="J39" s="198">
        <f>'Starting Values (old)'!J39*'Starting Values'!J$8</f>
        <v>1.2708755159390084</v>
      </c>
      <c r="K39" s="198">
        <f>'Starting Values (old)'!K39*'Starting Values'!K$8</f>
        <v>0.15122983029776266</v>
      </c>
      <c r="L39" s="198">
        <f>'Starting Values (old)'!L39*'Starting Values'!L$8</f>
        <v>0.48252257120688175</v>
      </c>
      <c r="M39" s="198">
        <f>'Starting Values (old)'!M39*'Starting Values'!M$8</f>
        <v>5.5013934370800599E-3</v>
      </c>
      <c r="N39" s="198">
        <f>'Starting Values (old)'!N39*'Starting Values'!N$8</f>
        <v>0.35430928253291649</v>
      </c>
    </row>
    <row r="40" spans="1:14" ht="13.5" thickBot="1" x14ac:dyDescent="0.25">
      <c r="A40" s="75">
        <v>32</v>
      </c>
      <c r="B40" s="113" t="s">
        <v>181</v>
      </c>
      <c r="C40" s="198">
        <f>'Starting Values (old)'!C40*'Starting Values'!C$8</f>
        <v>1.0706149810789638</v>
      </c>
      <c r="D40" s="198">
        <f>'Starting Values (old)'!D40*'Starting Values'!D$8</f>
        <v>4.0941148302956226E-2</v>
      </c>
      <c r="E40" s="198">
        <f>'Starting Values (old)'!E40*'Starting Values'!E$8</f>
        <v>0.95316281986002671</v>
      </c>
      <c r="F40" s="198">
        <f>'Starting Values (old)'!F40*'Starting Values'!F$8</f>
        <v>1.338623225085906</v>
      </c>
      <c r="G40" s="198">
        <f>'Starting Values (old)'!G40*'Starting Values'!G$8</f>
        <v>1.06481687720449E-2</v>
      </c>
      <c r="H40" s="198">
        <f>'Starting Values (old)'!H40*'Starting Values'!H$8</f>
        <v>1.2777302019972419</v>
      </c>
      <c r="I40" s="198">
        <f>'Starting Values (old)'!I40*'Starting Values'!I$8</f>
        <v>1.0397140009306192</v>
      </c>
      <c r="J40" s="198">
        <f>'Starting Values (old)'!J40*'Starting Values'!J$8</f>
        <v>6.0577093341100858E-4</v>
      </c>
      <c r="K40" s="198">
        <f>'Starting Values (old)'!K40*'Starting Values'!K$8</f>
        <v>0.6563126147936148</v>
      </c>
      <c r="L40" s="198">
        <f>'Starting Values (old)'!L40*'Starting Values'!L$8</f>
        <v>1.4731528524637461</v>
      </c>
      <c r="M40" s="198">
        <f>'Starting Values (old)'!M40*'Starting Values'!M$8</f>
        <v>5.7357500945817028</v>
      </c>
      <c r="N40" s="198">
        <f>'Starting Values (old)'!N40*'Starting Values'!N$8</f>
        <v>1.081714641684528</v>
      </c>
    </row>
    <row r="41" spans="1:14" ht="13.5" thickBot="1" x14ac:dyDescent="0.25">
      <c r="A41" s="75">
        <v>33</v>
      </c>
      <c r="B41" s="113" t="s">
        <v>566</v>
      </c>
      <c r="C41" s="198">
        <f>'Starting Values (old)'!C41*'Starting Values'!C$8</f>
        <v>1.6538701171781901E-2</v>
      </c>
      <c r="D41" s="198">
        <f>'Starting Values (old)'!D41*'Starting Values'!D$8</f>
        <v>3.4731341923286911</v>
      </c>
      <c r="E41" s="198">
        <f>'Starting Values (old)'!E41*'Starting Values'!E$8</f>
        <v>1.4724317634553325E-2</v>
      </c>
      <c r="F41" s="198">
        <f>'Starting Values (old)'!F41*'Starting Values'!F$8</f>
        <v>1.5749048997513379E-2</v>
      </c>
      <c r="G41" s="198">
        <f>'Starting Values (old)'!G41*'Starting Values'!G$8</f>
        <v>3.3073069040783887</v>
      </c>
      <c r="H41" s="198">
        <f>'Starting Values (old)'!H41*'Starting Values'!H$8</f>
        <v>1.5032635905122473E-2</v>
      </c>
      <c r="I41" s="198">
        <f>'Starting Values (old)'!I41*'Starting Values'!I$8</f>
        <v>4.979251908857376E-2</v>
      </c>
      <c r="J41" s="198">
        <f>'Starting Values (old)'!J41*'Starting Values'!J$8</f>
        <v>6.3084679712278797</v>
      </c>
      <c r="K41" s="198">
        <f>'Starting Values (old)'!K41*'Starting Values'!K$8</f>
        <v>3.1431199705815586E-2</v>
      </c>
      <c r="L41" s="198">
        <f>'Starting Values (old)'!L41*'Starting Values'!L$8</f>
        <v>0.18856708844293452</v>
      </c>
      <c r="M41" s="198">
        <f>'Starting Values (old)'!M41*'Starting Values'!M$8</f>
        <v>7.3271198041899268</v>
      </c>
      <c r="N41" s="198">
        <f>'Starting Values (old)'!N41*'Starting Values'!N$8</f>
        <v>0.13846206126364161</v>
      </c>
    </row>
    <row r="42" spans="1:14" ht="13.5" thickBot="1" x14ac:dyDescent="0.25">
      <c r="A42" s="75">
        <v>34</v>
      </c>
      <c r="B42" s="113" t="s">
        <v>567</v>
      </c>
      <c r="C42" s="198">
        <f>'Starting Values (old)'!C42*'Starting Values'!C$8</f>
        <v>0.20947282203088952</v>
      </c>
      <c r="D42" s="198">
        <f>'Starting Values (old)'!D42*'Starting Values'!D$8</f>
        <v>0.87207609644996364</v>
      </c>
      <c r="E42" s="198">
        <f>'Starting Values (old)'!E42*'Starting Values'!E$8</f>
        <v>0.18649253864333326</v>
      </c>
      <c r="F42" s="198">
        <f>'Starting Values (old)'!F42*'Starting Values'!F$8</f>
        <v>0.61126790646386031</v>
      </c>
      <c r="G42" s="198">
        <f>'Starting Values (old)'!G42*'Starting Values'!G$8</f>
        <v>2.1897989228121605E-2</v>
      </c>
      <c r="H42" s="198">
        <f>'Starting Values (old)'!H42*'Starting Values'!H$8</f>
        <v>0.58346176202820377</v>
      </c>
      <c r="I42" s="198">
        <f>'Starting Values (old)'!I42*'Starting Values'!I$8</f>
        <v>1.4187734509663918</v>
      </c>
      <c r="J42" s="198">
        <f>'Starting Values (old)'!J42*'Starting Values'!J$8</f>
        <v>6.7259154408272384</v>
      </c>
      <c r="K42" s="198">
        <f>'Starting Values (old)'!K42*'Starting Values'!K$8</f>
        <v>0.89559139587430636</v>
      </c>
      <c r="L42" s="198">
        <f>'Starting Values (old)'!L42*'Starting Values'!L$8</f>
        <v>1.4388332640825021</v>
      </c>
      <c r="M42" s="198">
        <f>'Starting Values (old)'!M42*'Starting Values'!M$8</f>
        <v>3.3234154217812217</v>
      </c>
      <c r="N42" s="198">
        <f>'Starting Values (old)'!N42*'Starting Values'!N$8</f>
        <v>1.0565142687656619</v>
      </c>
    </row>
    <row r="43" spans="1:14" ht="13.5" thickBot="1" x14ac:dyDescent="0.25">
      <c r="A43" s="75">
        <v>35</v>
      </c>
      <c r="B43" s="113" t="s">
        <v>568</v>
      </c>
      <c r="C43" s="198">
        <f>'Starting Values (old)'!C43*'Starting Values'!C$8</f>
        <v>0.16720576018090841</v>
      </c>
      <c r="D43" s="198">
        <f>'Starting Values (old)'!D43*'Starting Values'!D$8</f>
        <v>9.3477266255673798E-3</v>
      </c>
      <c r="E43" s="198">
        <f>'Starting Values (old)'!E43*'Starting Values'!E$8</f>
        <v>0.14886239842287363</v>
      </c>
      <c r="F43" s="198">
        <f>'Starting Values (old)'!F43*'Starting Values'!F$8</f>
        <v>0.36827415354452259</v>
      </c>
      <c r="G43" s="198">
        <f>'Starting Values (old)'!G43*'Starting Values'!G$8</f>
        <v>1.7214445327873797E-3</v>
      </c>
      <c r="H43" s="198">
        <f>'Starting Values (old)'!H43*'Starting Values'!H$8</f>
        <v>0.35152162294853978</v>
      </c>
      <c r="I43" s="198">
        <f>'Starting Values (old)'!I43*'Starting Values'!I$8</f>
        <v>0.77156218802607268</v>
      </c>
      <c r="J43" s="198">
        <f>'Starting Values (old)'!J43*'Starting Values'!J$8</f>
        <v>2.761006385055266E-4</v>
      </c>
      <c r="K43" s="198">
        <f>'Starting Values (old)'!K43*'Starting Values'!K$8</f>
        <v>0.48704354913564923</v>
      </c>
      <c r="L43" s="198">
        <f>'Starting Values (old)'!L43*'Starting Values'!L$8</f>
        <v>0.13527431319912431</v>
      </c>
      <c r="M43" s="198">
        <f>'Starting Values (old)'!M43*'Starting Values'!M$8</f>
        <v>1.8597551516174208E-4</v>
      </c>
      <c r="N43" s="198">
        <f>'Starting Values (old)'!N43*'Starting Values'!N$8</f>
        <v>9.9329954109369969E-2</v>
      </c>
    </row>
    <row r="44" spans="1:14" ht="13.5" thickBot="1" x14ac:dyDescent="0.25">
      <c r="A44" s="75">
        <v>36</v>
      </c>
      <c r="B44" s="113" t="s">
        <v>630</v>
      </c>
      <c r="C44" s="198">
        <f>'Starting Values (old)'!C44*'Starting Values'!C$8</f>
        <v>3.5986734461966048</v>
      </c>
      <c r="D44" s="198">
        <f>'Starting Values (old)'!D44*'Starting Values'!D$8</f>
        <v>0.10848595798487944</v>
      </c>
      <c r="E44" s="198">
        <f>'Starting Values (old)'!E44*'Starting Values'!E$8</f>
        <v>3.2038798170704519</v>
      </c>
      <c r="F44" s="198">
        <f>'Starting Values (old)'!F44*'Starting Values'!F$8</f>
        <v>3.4539371788276183</v>
      </c>
      <c r="G44" s="198">
        <f>'Starting Values (old)'!G44*'Starting Values'!G$8</f>
        <v>1.0726493535840036E-2</v>
      </c>
      <c r="H44" s="198">
        <f>'Starting Values (old)'!H44*'Starting Values'!H$8</f>
        <v>3.2968200211123486</v>
      </c>
      <c r="I44" s="198">
        <f>'Starting Values (old)'!I44*'Starting Values'!I$8</f>
        <v>5.072233432369659</v>
      </c>
      <c r="J44" s="198">
        <f>'Starting Values (old)'!J44*'Starting Values'!J$8</f>
        <v>2.0317992075488543E-3</v>
      </c>
      <c r="K44" s="198">
        <f>'Starting Values (old)'!K44*'Starting Values'!K$8</f>
        <v>3.2018139448564251</v>
      </c>
      <c r="L44" s="198">
        <f>'Starting Values (old)'!L44*'Starting Values'!L$8</f>
        <v>4.8484562822201767</v>
      </c>
      <c r="M44" s="198">
        <f>'Starting Values (old)'!M44*'Starting Values'!M$8</f>
        <v>3.8920889403679863E-3</v>
      </c>
      <c r="N44" s="198">
        <f>'Starting Values (old)'!N44*'Starting Values'!N$8</f>
        <v>3.5601506939850749</v>
      </c>
    </row>
    <row r="45" spans="1:14" ht="13.5" thickBot="1" x14ac:dyDescent="0.25">
      <c r="A45" s="75">
        <v>37</v>
      </c>
      <c r="B45" s="113" t="s">
        <v>631</v>
      </c>
      <c r="C45" s="198">
        <f>'Starting Values (old)'!C45*'Starting Values'!C$8</f>
        <v>0.42288589689266826</v>
      </c>
      <c r="D45" s="198">
        <f>'Starting Values (old)'!D45*'Starting Values'!D$8</f>
        <v>6.5750282417433654</v>
      </c>
      <c r="E45" s="198">
        <f>'Starting Values (old)'!E45*'Starting Values'!E$8</f>
        <v>0.37649306341204924</v>
      </c>
      <c r="F45" s="198">
        <f>'Starting Values (old)'!F45*'Starting Values'!F$8</f>
        <v>0.67251201181662801</v>
      </c>
      <c r="G45" s="198">
        <f>'Starting Values (old)'!G45*'Starting Values'!G$8</f>
        <v>0.13995968224165573</v>
      </c>
      <c r="H45" s="198">
        <f>'Starting Values (old)'!H45*'Starting Values'!H$8</f>
        <v>0.64191991637444279</v>
      </c>
      <c r="I45" s="198">
        <f>'Starting Values (old)'!I45*'Starting Values'!I$8</f>
        <v>0.729080941477393</v>
      </c>
      <c r="J45" s="198">
        <f>'Starting Values (old)'!J45*'Starting Values'!J$8</f>
        <v>3.7895943912429709E-4</v>
      </c>
      <c r="K45" s="198">
        <f>'Starting Values (old)'!K45*'Starting Values'!K$8</f>
        <v>0.46022754206341521</v>
      </c>
      <c r="L45" s="198">
        <f>'Starting Values (old)'!L45*'Starting Values'!L$8</f>
        <v>1.3602236661251987</v>
      </c>
      <c r="M45" s="198">
        <f>'Starting Values (old)'!M45*'Starting Values'!M$8</f>
        <v>6.7703147494516643E-3</v>
      </c>
      <c r="N45" s="198">
        <f>'Starting Values (old)'!N45*'Starting Values'!N$8</f>
        <v>0.99879238814401616</v>
      </c>
    </row>
    <row r="46" spans="1:14" ht="13.5" thickBot="1" x14ac:dyDescent="0.25">
      <c r="A46" s="75">
        <v>38</v>
      </c>
      <c r="B46" s="113" t="s">
        <v>348</v>
      </c>
      <c r="C46" s="198">
        <f>'Starting Values (old)'!C46*'Starting Values'!C$8</f>
        <v>3.204494328983778</v>
      </c>
      <c r="D46" s="198">
        <f>'Starting Values (old)'!D46*'Starting Values'!D$8</f>
        <v>8.3770046571429209</v>
      </c>
      <c r="E46" s="198">
        <f>'Starting Values (old)'!E46*'Starting Values'!E$8</f>
        <v>2.8529442468303761</v>
      </c>
      <c r="F46" s="198">
        <f>'Starting Values (old)'!F46*'Starting Values'!F$8</f>
        <v>2.8472781923521144</v>
      </c>
      <c r="G46" s="198">
        <f>'Starting Values (old)'!G46*'Starting Values'!G$8</f>
        <v>11.128061899102581</v>
      </c>
      <c r="H46" s="198">
        <f>'Starting Values (old)'!H46*'Starting Values'!H$8</f>
        <v>2.7177575225642281</v>
      </c>
      <c r="I46" s="198">
        <f>'Starting Values (old)'!I46*'Starting Values'!I$8</f>
        <v>2.2034689838333832</v>
      </c>
      <c r="J46" s="198">
        <f>'Starting Values (old)'!J46*'Starting Values'!J$8</f>
        <v>1.6457295502490909E-3</v>
      </c>
      <c r="K46" s="198">
        <f>'Starting Values (old)'!K46*'Starting Values'!K$8</f>
        <v>1.3909252824352614</v>
      </c>
      <c r="L46" s="198">
        <f>'Starting Values (old)'!L46*'Starting Values'!L$8</f>
        <v>2.5870096938869085</v>
      </c>
      <c r="M46" s="198">
        <f>'Starting Values (old)'!M46*'Starting Values'!M$8</f>
        <v>9.3842259518792837</v>
      </c>
      <c r="N46" s="198">
        <f>'Starting Values (old)'!N46*'Starting Values'!N$8</f>
        <v>1.8996034657076739</v>
      </c>
    </row>
    <row r="47" spans="1:14" ht="13.5" thickBot="1" x14ac:dyDescent="0.25">
      <c r="A47" s="75">
        <v>39</v>
      </c>
      <c r="B47" s="2" t="s">
        <v>582</v>
      </c>
      <c r="C47" s="198">
        <f>'Starting Values (old)'!C47*'Starting Values'!C$8</f>
        <v>9.2439671841532132</v>
      </c>
      <c r="D47" s="198">
        <f>'Starting Values (old)'!D47*'Starting Values'!D$8</f>
        <v>0.73065304365123374</v>
      </c>
      <c r="E47" s="198">
        <f>'Starting Values (old)'!E47*'Starting Values'!E$8</f>
        <v>8.2298547878167287</v>
      </c>
      <c r="F47" s="198">
        <f>'Starting Values (old)'!F47*'Starting Values'!F$8</f>
        <v>12.82765360971591</v>
      </c>
      <c r="G47" s="198">
        <f>'Starting Values (old)'!G47*'Starting Values'!G$8</f>
        <v>0.11722064534955522</v>
      </c>
      <c r="H47" s="198">
        <f>'Starting Values (old)'!H47*'Starting Values'!H$8</f>
        <v>12.244132725876705</v>
      </c>
      <c r="I47" s="198">
        <f>'Starting Values (old)'!I47*'Starting Values'!I$8</f>
        <v>11.738834453629499</v>
      </c>
      <c r="J47" s="198">
        <f>'Starting Values (old)'!J47*'Starting Values'!J$8</f>
        <v>1.2183298656353899E-2</v>
      </c>
      <c r="K47" s="198">
        <f>'Starting Values (old)'!K47*'Starting Values'!K$8</f>
        <v>7.4100619285640139</v>
      </c>
      <c r="L47" s="198">
        <f>'Starting Values (old)'!L47*'Starting Values'!L$8</f>
        <v>13.334000764227003</v>
      </c>
      <c r="M47" s="198">
        <f>'Starting Values (old)'!M47*'Starting Values'!M$8</f>
        <v>3.8270025298307711E-2</v>
      </c>
      <c r="N47" s="198">
        <f>'Starting Values (old)'!N47*'Starting Values'!N$8</f>
        <v>9.7909621766503001</v>
      </c>
    </row>
    <row r="48" spans="1:14" ht="13.5" thickBot="1" x14ac:dyDescent="0.25">
      <c r="A48" s="75">
        <v>40</v>
      </c>
      <c r="B48" s="113" t="s">
        <v>349</v>
      </c>
      <c r="C48" s="198">
        <f>'Starting Values (old)'!C48*'Starting Values'!C$8</f>
        <v>1.6074129294648296</v>
      </c>
      <c r="D48" s="198">
        <f>'Starting Values (old)'!D48*'Starting Values'!D$8</f>
        <v>0.14125138166469137</v>
      </c>
      <c r="E48" s="198">
        <f>'Starting Values (old)'!E48*'Starting Values'!E$8</f>
        <v>1.4310711764784845</v>
      </c>
      <c r="F48" s="198">
        <f>'Starting Values (old)'!F48*'Starting Values'!F$8</f>
        <v>2.9741706442320308</v>
      </c>
      <c r="G48" s="198">
        <f>'Starting Values (old)'!G48*'Starting Values'!G$8</f>
        <v>5.5749096972723455E-2</v>
      </c>
      <c r="H48" s="198">
        <f>'Starting Values (old)'!H48*'Starting Values'!H$8</f>
        <v>2.8388777266171989</v>
      </c>
      <c r="I48" s="198">
        <f>'Starting Values (old)'!I48*'Starting Values'!I$8</f>
        <v>3.2006044655989219</v>
      </c>
      <c r="J48" s="198">
        <f>'Starting Values (old)'!J48*'Starting Values'!J$8</f>
        <v>1.5471363784982766</v>
      </c>
      <c r="K48" s="198">
        <f>'Starting Values (old)'!K48*'Starting Values'!K$8</f>
        <v>2.0203604874582459</v>
      </c>
      <c r="L48" s="198">
        <f>'Starting Values (old)'!L48*'Starting Values'!L$8</f>
        <v>3.3527471792428258</v>
      </c>
      <c r="M48" s="198">
        <f>'Starting Values (old)'!M48*'Starting Values'!M$8</f>
        <v>2.3235205509897196E-2</v>
      </c>
      <c r="N48" s="198">
        <f>'Starting Values (old)'!N48*'Starting Values'!N$8</f>
        <v>2.4618733267142208</v>
      </c>
    </row>
    <row r="49" spans="1:14" ht="13.5" thickBot="1" x14ac:dyDescent="0.25">
      <c r="A49" s="75">
        <v>41</v>
      </c>
      <c r="B49" s="113" t="s">
        <v>350</v>
      </c>
      <c r="C49" s="198">
        <f>'Starting Values (old)'!C49*'Starting Values'!C$8</f>
        <v>3.3765219217671083</v>
      </c>
      <c r="D49" s="198">
        <f>'Starting Values (old)'!D49*'Starting Values'!D$8</f>
        <v>0.94604258694146315</v>
      </c>
      <c r="E49" s="198">
        <f>'Starting Values (old)'!E49*'Starting Values'!E$8</f>
        <v>3.0060994971574755</v>
      </c>
      <c r="F49" s="198">
        <f>'Starting Values (old)'!F49*'Starting Values'!F$8</f>
        <v>4.1314653230306488</v>
      </c>
      <c r="G49" s="198">
        <f>'Starting Values (old)'!G49*'Starting Values'!G$8</f>
        <v>0.22646611898547939</v>
      </c>
      <c r="H49" s="198">
        <f>'Starting Values (old)'!H49*'Starting Values'!H$8</f>
        <v>3.9435278895611412</v>
      </c>
      <c r="I49" s="198">
        <f>'Starting Values (old)'!I49*'Starting Values'!I$8</f>
        <v>5.6654570756742224</v>
      </c>
      <c r="J49" s="198">
        <f>'Starting Values (old)'!J49*'Starting Values'!J$8</f>
        <v>3.1334333926643703E-3</v>
      </c>
      <c r="K49" s="198">
        <f>'Starting Values (old)'!K49*'Starting Values'!K$8</f>
        <v>3.5762824623007656</v>
      </c>
      <c r="L49" s="198">
        <f>'Starting Values (old)'!L49*'Starting Values'!L$8</f>
        <v>5.4305088277241804</v>
      </c>
      <c r="M49" s="198">
        <f>'Starting Values (old)'!M49*'Starting Values'!M$8</f>
        <v>9.1029054601982781E-2</v>
      </c>
      <c r="N49" s="198">
        <f>'Starting Values (old)'!N49*'Starting Values'!N$8</f>
        <v>3.9875433841926404</v>
      </c>
    </row>
    <row r="50" spans="1:14" ht="13.5" thickBot="1" x14ac:dyDescent="0.25">
      <c r="A50" s="75">
        <v>42</v>
      </c>
      <c r="B50" s="2" t="s">
        <v>583</v>
      </c>
      <c r="C50" s="198">
        <f>'Starting Values (old)'!C50*'Starting Values'!C$8</f>
        <v>1.8678110667689281</v>
      </c>
      <c r="D50" s="198">
        <f>'Starting Values (old)'!D50*'Starting Values'!D$8</f>
        <v>0.71141186512286747</v>
      </c>
      <c r="E50" s="198">
        <f>'Starting Values (old)'!E50*'Starting Values'!E$8</f>
        <v>1.6629022522859009</v>
      </c>
      <c r="F50" s="198">
        <f>'Starting Values (old)'!F50*'Starting Values'!F$8</f>
        <v>2.078201245855074</v>
      </c>
      <c r="G50" s="198">
        <f>'Starting Values (old)'!G50*'Starting Values'!G$8</f>
        <v>0.11391708448338961</v>
      </c>
      <c r="H50" s="198">
        <f>'Starting Values (old)'!H50*'Starting Values'!H$8</f>
        <v>1.9836653420434378</v>
      </c>
      <c r="I50" s="198">
        <f>'Starting Values (old)'!I50*'Starting Values'!I$8</f>
        <v>2.4404466010215735</v>
      </c>
      <c r="J50" s="198">
        <f>'Starting Values (old)'!J50*'Starting Values'!J$8</f>
        <v>5.631289339523752</v>
      </c>
      <c r="K50" s="198">
        <f>'Starting Values (old)'!K50*'Starting Values'!K$8</f>
        <v>1.5405158423826408</v>
      </c>
      <c r="L50" s="198">
        <f>'Starting Values (old)'!L50*'Starting Values'!L$8</f>
        <v>1.6179863835338579</v>
      </c>
      <c r="M50" s="198">
        <f>'Starting Values (old)'!M50*'Starting Values'!M$8</f>
        <v>2.4745957457604554E-2</v>
      </c>
      <c r="N50" s="198">
        <f>'Starting Values (old)'!N50*'Starting Values'!N$8</f>
        <v>1.1880637899778594</v>
      </c>
    </row>
    <row r="51" spans="1:14" ht="13.5" thickBot="1" x14ac:dyDescent="0.25">
      <c r="A51" s="75">
        <v>43</v>
      </c>
      <c r="B51" s="113" t="s">
        <v>351</v>
      </c>
      <c r="C51" s="198">
        <f>'Starting Values (old)'!C51*'Starting Values'!C$8</f>
        <v>4.5477073858823038</v>
      </c>
      <c r="D51" s="198">
        <f>'Starting Values (old)'!D51*'Starting Values'!D$8</f>
        <v>6.7655977217741157</v>
      </c>
      <c r="E51" s="198">
        <f>'Starting Values (old)'!E51*'Starting Values'!E$8</f>
        <v>4.048799682830273</v>
      </c>
      <c r="F51" s="198">
        <f>'Starting Values (old)'!F51*'Starting Values'!F$8</f>
        <v>3.3599541244819711</v>
      </c>
      <c r="G51" s="198">
        <f>'Starting Values (old)'!G51*'Starting Values'!G$8</f>
        <v>6.0509067890623278</v>
      </c>
      <c r="H51" s="198">
        <f>'Starting Values (old)'!H51*'Starting Values'!H$8</f>
        <v>3.2071121893916827</v>
      </c>
      <c r="I51" s="198">
        <f>'Starting Values (old)'!I51*'Starting Values'!I$8</f>
        <v>1.4075602320880269</v>
      </c>
      <c r="J51" s="198">
        <f>'Starting Values (old)'!J51*'Starting Values'!J$8</f>
        <v>6.3404302681437379</v>
      </c>
      <c r="K51" s="198">
        <f>'Starting Values (old)'!K51*'Starting Values'!K$8</f>
        <v>0.88851312531555127</v>
      </c>
      <c r="L51" s="198">
        <f>'Starting Values (old)'!L51*'Starting Values'!L$8</f>
        <v>2.5102962519757446</v>
      </c>
      <c r="M51" s="198">
        <f>'Starting Values (old)'!M51*'Starting Values'!M$8</f>
        <v>1.764197614639943</v>
      </c>
      <c r="N51" s="198">
        <f>'Starting Values (old)'!N51*'Starting Values'!N$8</f>
        <v>1.8432739047998976</v>
      </c>
    </row>
    <row r="52" spans="1:14" ht="13.5" thickBot="1" x14ac:dyDescent="0.25">
      <c r="A52" s="75">
        <v>44</v>
      </c>
      <c r="B52" s="2" t="s">
        <v>584</v>
      </c>
      <c r="C52" s="198">
        <f>'Starting Values (old)'!C52*'Starting Values'!C$8</f>
        <v>3.0971827082488015</v>
      </c>
      <c r="D52" s="198">
        <f>'Starting Values (old)'!D52*'Starting Values'!D$8</f>
        <v>13.477863318102351</v>
      </c>
      <c r="E52" s="198">
        <f>'Starting Values (old)'!E52*'Starting Values'!E$8</f>
        <v>2.7574052820006325</v>
      </c>
      <c r="F52" s="198">
        <f>'Starting Values (old)'!F52*'Starting Values'!F$8</f>
        <v>3.0384540818200829</v>
      </c>
      <c r="G52" s="198">
        <f>'Starting Values (old)'!G52*'Starting Values'!G$8</f>
        <v>20.671962779324204</v>
      </c>
      <c r="H52" s="198">
        <f>'Starting Values (old)'!H52*'Starting Values'!H$8</f>
        <v>2.9002369561264492</v>
      </c>
      <c r="I52" s="198">
        <f>'Starting Values (old)'!I52*'Starting Values'!I$8</f>
        <v>3.9223206176063958</v>
      </c>
      <c r="J52" s="198">
        <f>'Starting Values (old)'!J52*'Starting Values'!J$8</f>
        <v>24.755173531218617</v>
      </c>
      <c r="K52" s="198">
        <f>'Starting Values (old)'!K52*'Starting Values'!K$8</f>
        <v>2.4759390546785016</v>
      </c>
      <c r="L52" s="198">
        <f>'Starting Values (old)'!L52*'Starting Values'!L$8</f>
        <v>4.7162724944736434</v>
      </c>
      <c r="M52" s="198">
        <f>'Starting Values (old)'!M52*'Starting Values'!M$8</f>
        <v>27.222906582889269</v>
      </c>
      <c r="N52" s="198">
        <f>'Starting Values (old)'!N52*'Starting Values'!N$8</f>
        <v>3.4630900676151684</v>
      </c>
    </row>
    <row r="53" spans="1:14" ht="13.5" thickBot="1" x14ac:dyDescent="0.25">
      <c r="A53" s="75">
        <v>45</v>
      </c>
      <c r="B53" s="2" t="s">
        <v>230</v>
      </c>
      <c r="C53" s="198">
        <f>'Starting Values (old)'!C53*'Starting Values'!C$8</f>
        <v>2.0764295841760427</v>
      </c>
      <c r="D53" s="198">
        <f>'Starting Values (old)'!D53*'Starting Values'!D$8</f>
        <v>0.20616431171260774</v>
      </c>
      <c r="E53" s="198">
        <f>'Starting Values (old)'!E53*'Starting Values'!E$8</f>
        <v>1.8486342080692819</v>
      </c>
      <c r="F53" s="198">
        <f>'Starting Values (old)'!F53*'Starting Values'!F$8</f>
        <v>2.4222569353858945</v>
      </c>
      <c r="G53" s="198">
        <f>'Starting Values (old)'!G53*'Starting Values'!G$8</f>
        <v>4.7120600338478945E-2</v>
      </c>
      <c r="H53" s="198">
        <f>'Starting Values (old)'!H53*'Starting Values'!H$8</f>
        <v>2.3120701817654612</v>
      </c>
      <c r="I53" s="198">
        <f>'Starting Values (old)'!I53*'Starting Values'!I$8</f>
        <v>3.3734159798347054</v>
      </c>
      <c r="J53" s="198">
        <f>'Starting Values (old)'!J53*'Starting Values'!J$8</f>
        <v>4.2919265286752761</v>
      </c>
      <c r="K53" s="198">
        <f>'Starting Values (old)'!K53*'Starting Values'!K$8</f>
        <v>2.129446617560383</v>
      </c>
      <c r="L53" s="198">
        <f>'Starting Values (old)'!L53*'Starting Values'!L$8</f>
        <v>4.201671047195453</v>
      </c>
      <c r="M53" s="198">
        <f>'Starting Values (old)'!M53*'Starting Values'!M$8</f>
        <v>2.7657892703347599E-2</v>
      </c>
      <c r="N53" s="198">
        <f>'Starting Values (old)'!N53*'Starting Values'!N$8</f>
        <v>3.0852257345136134</v>
      </c>
    </row>
    <row r="54" spans="1:14" ht="13.5" thickBot="1" x14ac:dyDescent="0.25">
      <c r="A54" s="75">
        <v>46</v>
      </c>
      <c r="B54" s="113" t="s">
        <v>352</v>
      </c>
      <c r="C54" s="198">
        <f>'Starting Values (old)'!C54*'Starting Values'!C$8</f>
        <v>0.29992317710114141</v>
      </c>
      <c r="D54" s="198">
        <f>'Starting Values (old)'!D54*'Starting Values'!D$8</f>
        <v>0.15341058163160806</v>
      </c>
      <c r="E54" s="198">
        <f>'Starting Values (old)'!E54*'Starting Values'!E$8</f>
        <v>0.26702000838713952</v>
      </c>
      <c r="F54" s="198">
        <f>'Starting Values (old)'!F54*'Starting Values'!F$8</f>
        <v>0.28598742607560118</v>
      </c>
      <c r="G54" s="198">
        <f>'Starting Values (old)'!G54*'Starting Values'!G$8</f>
        <v>1.4054620577071941</v>
      </c>
      <c r="H54" s="198">
        <f>'Starting Values (old)'!H54*'Starting Values'!H$8</f>
        <v>0.27297806047313933</v>
      </c>
      <c r="I54" s="198">
        <f>'Starting Values (old)'!I54*'Starting Values'!I$8</f>
        <v>1.0672715814840832</v>
      </c>
      <c r="J54" s="198">
        <f>'Starting Values (old)'!J54*'Starting Values'!J$8</f>
        <v>3.9068545740227862</v>
      </c>
      <c r="K54" s="198">
        <f>'Starting Values (old)'!K54*'Starting Values'!K$8</f>
        <v>0.67370815600421796</v>
      </c>
      <c r="L54" s="198">
        <f>'Starting Values (old)'!L54*'Starting Values'!L$8</f>
        <v>0.68587456189846885</v>
      </c>
      <c r="M54" s="198">
        <f>'Starting Values (old)'!M54*'Starting Values'!M$8</f>
        <v>5.3541933127256174</v>
      </c>
      <c r="N54" s="198">
        <f>'Starting Values (old)'!N54*'Starting Values'!N$8</f>
        <v>0.50362768176005912</v>
      </c>
    </row>
    <row r="55" spans="1:14" ht="13.5" thickBot="1" x14ac:dyDescent="0.25">
      <c r="A55" s="75">
        <v>47</v>
      </c>
      <c r="B55" s="2" t="s">
        <v>176</v>
      </c>
      <c r="C55" s="198">
        <f>'Starting Values (old)'!C55*'Starting Values'!C$8</f>
        <v>0.20195972869413248</v>
      </c>
      <c r="D55" s="198">
        <f>'Starting Values (old)'!D55*'Starting Values'!D$8</f>
        <v>4.7263386337743851E-2</v>
      </c>
      <c r="E55" s="198">
        <f>'Starting Values (old)'!E55*'Starting Values'!E$8</f>
        <v>0.17980367163017244</v>
      </c>
      <c r="F55" s="198">
        <f>'Starting Values (old)'!F55*'Starting Values'!F$8</f>
        <v>0.29196864196744454</v>
      </c>
      <c r="G55" s="198">
        <f>'Starting Values (old)'!G55*'Starting Values'!G$8</f>
        <v>2.7358831108779635E-2</v>
      </c>
      <c r="H55" s="198">
        <f>'Starting Values (old)'!H55*'Starting Values'!H$8</f>
        <v>0.27868719508731249</v>
      </c>
      <c r="I55" s="198">
        <f>'Starting Values (old)'!I55*'Starting Values'!I$8</f>
        <v>0.4563368745095791</v>
      </c>
      <c r="J55" s="198">
        <f>'Starting Values (old)'!J55*'Starting Values'!J$8</f>
        <v>0.79640031197169836</v>
      </c>
      <c r="K55" s="198">
        <f>'Starting Values (old)'!K55*'Starting Values'!K$8</f>
        <v>0.2880596462758544</v>
      </c>
      <c r="L55" s="198">
        <f>'Starting Values (old)'!L55*'Starting Values'!L$8</f>
        <v>0.70021620484287839</v>
      </c>
      <c r="M55" s="198">
        <f>'Starting Values (old)'!M55*'Starting Values'!M$8</f>
        <v>4.2634232220793695</v>
      </c>
      <c r="N55" s="198">
        <f>'Starting Values (old)'!N55*'Starting Values'!N$8</f>
        <v>0.51415854088498569</v>
      </c>
    </row>
    <row r="56" spans="1:14" ht="13.5" thickBot="1" x14ac:dyDescent="0.25">
      <c r="A56" s="75">
        <v>48</v>
      </c>
      <c r="B56" s="2" t="s">
        <v>448</v>
      </c>
      <c r="C56" s="198">
        <f>'Starting Values (old)'!C56*'Starting Values'!C$8</f>
        <v>3.7247971402056511E-2</v>
      </c>
      <c r="D56" s="198">
        <f>'Starting Values (old)'!D56*'Starting Values'!D$8</f>
        <v>3.088890031622406E-3</v>
      </c>
      <c r="E56" s="198">
        <f>'Starting Values (old)'!E56*'Starting Values'!E$8</f>
        <v>3.3161670706185684E-2</v>
      </c>
      <c r="F56" s="198">
        <f>'Starting Values (old)'!F56*'Starting Values'!F$8</f>
        <v>8.6937966517616927E-2</v>
      </c>
      <c r="G56" s="198">
        <f>'Starting Values (old)'!G56*'Starting Values'!G$8</f>
        <v>9.2789408364340575E-4</v>
      </c>
      <c r="H56" s="198">
        <f>'Starting Values (old)'!H56*'Starting Values'!H$8</f>
        <v>8.2983219951719714E-2</v>
      </c>
      <c r="I56" s="198">
        <f>'Starting Values (old)'!I56*'Starting Values'!I$8</f>
        <v>0.14759860109991824</v>
      </c>
      <c r="J56" s="198">
        <f>'Starting Values (old)'!J56*'Starting Values'!J$8</f>
        <v>1.5497884111197653</v>
      </c>
      <c r="K56" s="198">
        <f>'Starting Values (old)'!K56*'Starting Values'!K$8</f>
        <v>9.3170644755250623E-2</v>
      </c>
      <c r="L56" s="198">
        <f>'Starting Values (old)'!L56*'Starting Values'!L$8</f>
        <v>7.0314728826087941E-2</v>
      </c>
      <c r="M56" s="198">
        <f>'Starting Values (old)'!M56*'Starting Values'!M$8</f>
        <v>2.0262831871752576E-4</v>
      </c>
      <c r="N56" s="198">
        <f>'Starting Values (old)'!N56*'Starting Values'!N$8</f>
        <v>5.1631079266520524E-2</v>
      </c>
    </row>
    <row r="57" spans="1:14" ht="13.5" thickBot="1" x14ac:dyDescent="0.25">
      <c r="A57" s="75">
        <v>49</v>
      </c>
      <c r="B57" s="113" t="s">
        <v>188</v>
      </c>
      <c r="C57" s="198">
        <f>'Starting Values (old)'!C57*'Starting Values'!C$8</f>
        <v>0.17923308161958235</v>
      </c>
      <c r="D57" s="198">
        <f>'Starting Values (old)'!D57*'Starting Values'!D$8</f>
        <v>8.2179541825850801</v>
      </c>
      <c r="E57" s="198">
        <f>'Starting Values (old)'!E57*'Starting Values'!E$8</f>
        <v>0.15957025869052655</v>
      </c>
      <c r="F57" s="198">
        <f>'Starting Values (old)'!F57*'Starting Values'!F$8</f>
        <v>0.24708364220652779</v>
      </c>
      <c r="G57" s="198">
        <f>'Starting Values (old)'!G57*'Starting Values'!G$8</f>
        <v>20.52172113738234</v>
      </c>
      <c r="H57" s="198">
        <f>'Starting Values (old)'!H57*'Starting Values'!H$8</f>
        <v>0.23584398219782912</v>
      </c>
      <c r="I57" s="198">
        <f>'Starting Values (old)'!I57*'Starting Values'!I$8</f>
        <v>0.72774599562207831</v>
      </c>
      <c r="J57" s="198">
        <f>'Starting Values (old)'!J57*'Starting Values'!J$8</f>
        <v>7.6413482366977314</v>
      </c>
      <c r="K57" s="198">
        <f>'Starting Values (old)'!K57*'Starting Values'!K$8</f>
        <v>0.45938486628514807</v>
      </c>
      <c r="L57" s="198">
        <f>'Starting Values (old)'!L57*'Starting Values'!L$8</f>
        <v>0.61577360044853713</v>
      </c>
      <c r="M57" s="198">
        <f>'Starting Values (old)'!M57*'Starting Values'!M$8</f>
        <v>6.4656357359552503</v>
      </c>
      <c r="N57" s="198">
        <f>'Starting Values (old)'!N57*'Starting Values'!N$8</f>
        <v>0.45215356875831958</v>
      </c>
    </row>
    <row r="58" spans="1:14" ht="13.5" thickBot="1" x14ac:dyDescent="0.25">
      <c r="A58" s="75">
        <v>50</v>
      </c>
      <c r="B58" s="113" t="s">
        <v>189</v>
      </c>
      <c r="C58" s="198">
        <f>'Starting Values (old)'!C58*'Starting Values'!C$8</f>
        <v>0.46248176610565372</v>
      </c>
      <c r="D58" s="198">
        <f>'Starting Values (old)'!D58*'Starting Values'!D$8</f>
        <v>1.883423721966317</v>
      </c>
      <c r="E58" s="198">
        <f>'Starting Values (old)'!E58*'Starting Values'!E$8</f>
        <v>0.41174505504383307</v>
      </c>
      <c r="F58" s="198">
        <f>'Starting Values (old)'!F58*'Starting Values'!F$8</f>
        <v>0.37555162585264318</v>
      </c>
      <c r="G58" s="198">
        <f>'Starting Values (old)'!G58*'Starting Values'!G$8</f>
        <v>9.5342071802978552</v>
      </c>
      <c r="H58" s="198">
        <f>'Starting Values (old)'!H58*'Starting Values'!H$8</f>
        <v>0.35846804819204886</v>
      </c>
      <c r="I58" s="198">
        <f>'Starting Values (old)'!I58*'Starting Values'!I$8</f>
        <v>0.54954992503256883</v>
      </c>
      <c r="J58" s="198">
        <f>'Starting Values (old)'!J58*'Starting Values'!J$8</f>
        <v>2.1357851690042802</v>
      </c>
      <c r="K58" s="198">
        <f>'Starting Values (old)'!K58*'Starting Values'!K$8</f>
        <v>0.34689977045122855</v>
      </c>
      <c r="L58" s="198">
        <f>'Starting Values (old)'!L58*'Starting Values'!L$8</f>
        <v>0.46013331680053338</v>
      </c>
      <c r="M58" s="198">
        <f>'Starting Values (old)'!M58*'Starting Values'!M$8</f>
        <v>4.7717452351741816</v>
      </c>
      <c r="N58" s="198">
        <f>'Starting Values (old)'!N58*'Starting Values'!N$8</f>
        <v>0.33786917975115655</v>
      </c>
    </row>
    <row r="59" spans="1:14" ht="13.5" thickBot="1" x14ac:dyDescent="0.25">
      <c r="A59" s="75">
        <v>51</v>
      </c>
      <c r="B59" s="2" t="s">
        <v>155</v>
      </c>
      <c r="C59" s="198">
        <f>'Starting Values (old)'!C59*'Starting Values'!C$8</f>
        <v>0.68093834377557327</v>
      </c>
      <c r="D59" s="198">
        <f>'Starting Values (old)'!D59*'Starting Values'!D$8</f>
        <v>0.11096128173849089</v>
      </c>
      <c r="E59" s="198">
        <f>'Starting Values (old)'!E59*'Starting Values'!E$8</f>
        <v>0.60623578352120122</v>
      </c>
      <c r="F59" s="198">
        <f>'Starting Values (old)'!F59*'Starting Values'!F$8</f>
        <v>0.95666404960535045</v>
      </c>
      <c r="G59" s="198">
        <f>'Starting Values (old)'!G59*'Starting Values'!G$8</f>
        <v>3.1263185645458998E-2</v>
      </c>
      <c r="H59" s="198">
        <f>'Starting Values (old)'!H59*'Starting Values'!H$8</f>
        <v>0.91314607907486378</v>
      </c>
      <c r="I59" s="198">
        <f>'Starting Values (old)'!I59*'Starting Values'!I$8</f>
        <v>1.3772022235414831</v>
      </c>
      <c r="J59" s="198">
        <f>'Starting Values (old)'!J59*'Starting Values'!J$8</f>
        <v>7.7778270512650946E-4</v>
      </c>
      <c r="K59" s="198">
        <f>'Starting Values (old)'!K59*'Starting Values'!K$8</f>
        <v>0.86934983237992136</v>
      </c>
      <c r="L59" s="198">
        <f>'Starting Values (old)'!L59*'Starting Values'!L$8</f>
        <v>1.6419172025814179</v>
      </c>
      <c r="M59" s="198">
        <f>'Starting Values (old)'!M59*'Starting Values'!M$8</f>
        <v>1.3572683942584884E-2</v>
      </c>
      <c r="N59" s="198">
        <f>'Starting Values (old)'!N59*'Starting Values'!N$8</f>
        <v>1.205635841179441</v>
      </c>
    </row>
    <row r="60" spans="1:14" ht="13.5" thickBot="1" x14ac:dyDescent="0.25">
      <c r="A60" s="75">
        <v>52</v>
      </c>
      <c r="B60" s="2" t="s">
        <v>48</v>
      </c>
      <c r="C60" s="198">
        <f>'Starting Values (old)'!C60*'Starting Values'!C$8</f>
        <v>0.11023353624929841</v>
      </c>
      <c r="D60" s="198">
        <f>'Starting Values (old)'!D60*'Starting Values'!D$8</f>
        <v>1.4601555721942763E-2</v>
      </c>
      <c r="E60" s="198">
        <f>'Starting Values (old)'!E60*'Starting Values'!E$8</f>
        <v>9.8140330661760297E-2</v>
      </c>
      <c r="F60" s="198">
        <f>'Starting Values (old)'!F60*'Starting Values'!F$8</f>
        <v>4.1474593208501935E-2</v>
      </c>
      <c r="G60" s="198">
        <f>'Starting Values (old)'!G60*'Starting Values'!G$8</f>
        <v>0.87096819931145553</v>
      </c>
      <c r="H60" s="198">
        <f>'Starting Values (old)'!H60*'Starting Values'!H$8</f>
        <v>3.9587943317397449E-2</v>
      </c>
      <c r="I60" s="198">
        <f>'Starting Values (old)'!I60*'Starting Values'!I$8</f>
        <v>0.35320914830520472</v>
      </c>
      <c r="J60" s="198">
        <f>'Starting Values (old)'!J60*'Starting Values'!J$8</f>
        <v>3.7087034745967649</v>
      </c>
      <c r="K60" s="198">
        <f>'Starting Values (old)'!K60*'Starting Values'!K$8</f>
        <v>0.22296094838169236</v>
      </c>
      <c r="L60" s="198">
        <f>'Starting Values (old)'!L60*'Starting Values'!L$8</f>
        <v>0.17490502005884201</v>
      </c>
      <c r="M60" s="198">
        <f>'Starting Values (old)'!M60*'Starting Values'!M$8</f>
        <v>6.4277723426814175</v>
      </c>
      <c r="N60" s="198">
        <f>'Starting Values (old)'!N60*'Starting Values'!N$8</f>
        <v>0.1284302038212505</v>
      </c>
    </row>
    <row r="61" spans="1:14" ht="13.5" thickBot="1" x14ac:dyDescent="0.25">
      <c r="A61" s="75">
        <v>53</v>
      </c>
      <c r="B61" s="113" t="s">
        <v>190</v>
      </c>
      <c r="C61" s="198">
        <f>'Starting Values (old)'!C61*'Starting Values'!C$8</f>
        <v>1.062972651459134</v>
      </c>
      <c r="D61" s="198">
        <f>'Starting Values (old)'!D61*'Starting Values'!D$8</f>
        <v>10.801183804168534</v>
      </c>
      <c r="E61" s="198">
        <f>'Starting Values (old)'!E61*'Starting Values'!E$8</f>
        <v>0.94635889447183941</v>
      </c>
      <c r="F61" s="198">
        <f>'Starting Values (old)'!F61*'Starting Values'!F$8</f>
        <v>3.0605630926465586</v>
      </c>
      <c r="G61" s="198">
        <f>'Starting Values (old)'!G61*'Starting Values'!G$8</f>
        <v>0.49561913345918973</v>
      </c>
      <c r="H61" s="198">
        <f>'Starting Values (old)'!H61*'Starting Values'!H$8</f>
        <v>2.9213402436982445</v>
      </c>
      <c r="I61" s="198">
        <f>'Starting Values (old)'!I61*'Starting Values'!I$8</f>
        <v>5.4096261622261794</v>
      </c>
      <c r="J61" s="198">
        <f>'Starting Values (old)'!J61*'Starting Values'!J$8</f>
        <v>4.1160972666370901</v>
      </c>
      <c r="K61" s="198">
        <f>'Starting Values (old)'!K61*'Starting Values'!K$8</f>
        <v>3.4147908832705354</v>
      </c>
      <c r="L61" s="198">
        <f>'Starting Values (old)'!L61*'Starting Values'!L$8</f>
        <v>2.6826640733379432</v>
      </c>
      <c r="M61" s="198">
        <f>'Starting Values (old)'!M61*'Starting Values'!M$8</f>
        <v>0.18860345304719897</v>
      </c>
      <c r="N61" s="198">
        <f>'Starting Values (old)'!N61*'Starting Values'!N$8</f>
        <v>1.9698410806438189</v>
      </c>
    </row>
    <row r="62" spans="1:14" ht="13.5" thickBot="1" x14ac:dyDescent="0.25">
      <c r="A62" s="75">
        <v>54</v>
      </c>
      <c r="B62" s="113" t="s">
        <v>191</v>
      </c>
      <c r="C62" s="198">
        <f>'Starting Values (old)'!C62*'Starting Values'!C$8</f>
        <v>0.52670513880316916</v>
      </c>
      <c r="D62" s="198">
        <f>'Starting Values (old)'!D62*'Starting Values'!D$8</f>
        <v>0.11073952150075229</v>
      </c>
      <c r="E62" s="198">
        <f>'Starting Values (old)'!E62*'Starting Values'!E$8</f>
        <v>0.46892278196074261</v>
      </c>
      <c r="F62" s="198">
        <f>'Starting Values (old)'!F62*'Starting Values'!F$8</f>
        <v>0.35511635255905416</v>
      </c>
      <c r="G62" s="198">
        <f>'Starting Values (old)'!G62*'Starting Values'!G$8</f>
        <v>3.943893003121564</v>
      </c>
      <c r="H62" s="198">
        <f>'Starting Values (old)'!H62*'Starting Values'!H$8</f>
        <v>0.33896236101736926</v>
      </c>
      <c r="I62" s="198">
        <f>'Starting Values (old)'!I62*'Starting Values'!I$8</f>
        <v>2.6543366527273236</v>
      </c>
      <c r="J62" s="198">
        <f>'Starting Values (old)'!J62*'Starting Values'!J$8</f>
        <v>4.0147198873714939E-3</v>
      </c>
      <c r="K62" s="198">
        <f>'Starting Values (old)'!K62*'Starting Values'!K$8</f>
        <v>1.6755325286903111</v>
      </c>
      <c r="L62" s="198">
        <f>'Starting Values (old)'!L62*'Starting Values'!L$8</f>
        <v>1.5511794727975585</v>
      </c>
      <c r="M62" s="198">
        <f>'Starting Values (old)'!M62*'Starting Values'!M$8</f>
        <v>0.13378488239579983</v>
      </c>
      <c r="N62" s="198">
        <f>'Starting Values (old)'!N62*'Starting Values'!N$8</f>
        <v>1.1390084503447002</v>
      </c>
    </row>
    <row r="63" spans="1:14" ht="13.5" thickBot="1" x14ac:dyDescent="0.25">
      <c r="A63" s="75">
        <v>55</v>
      </c>
      <c r="B63" s="2" t="s">
        <v>422</v>
      </c>
      <c r="C63" s="198">
        <f>'Starting Values (old)'!C63*'Starting Values'!C$8</f>
        <v>0.11790823431650226</v>
      </c>
      <c r="D63" s="198">
        <f>'Starting Values (old)'!D63*'Starting Values'!D$8</f>
        <v>0.12081770979592976</v>
      </c>
      <c r="E63" s="198">
        <f>'Starting Values (old)'!E63*'Starting Values'!E$8</f>
        <v>0.10497307350638033</v>
      </c>
      <c r="F63" s="198">
        <f>'Starting Values (old)'!F63*'Starting Values'!F$8</f>
        <v>0.46885875359451645</v>
      </c>
      <c r="G63" s="198">
        <f>'Starting Values (old)'!G63*'Starting Values'!G$8</f>
        <v>9.8460535175524981</v>
      </c>
      <c r="H63" s="198">
        <f>'Starting Values (old)'!H63*'Starting Values'!H$8</f>
        <v>0.44753070073175444</v>
      </c>
      <c r="I63" s="198">
        <f>'Starting Values (old)'!I63*'Starting Values'!I$8</f>
        <v>0.85615171252325639</v>
      </c>
      <c r="J63" s="198">
        <f>'Starting Values (old)'!J63*'Starting Values'!J$8</f>
        <v>8.9896109606801566</v>
      </c>
      <c r="K63" s="198">
        <f>'Starting Values (old)'!K63*'Starting Values'!K$8</f>
        <v>0.54044012930789209</v>
      </c>
      <c r="L63" s="198">
        <f>'Starting Values (old)'!L63*'Starting Values'!L$8</f>
        <v>0.44464523295535452</v>
      </c>
      <c r="M63" s="198">
        <f>'Starting Values (old)'!M63*'Starting Values'!M$8</f>
        <v>6.5953371115302462</v>
      </c>
      <c r="N63" s="198">
        <f>'Starting Values (old)'!N63*'Starting Values'!N$8</f>
        <v>0.32649650580293166</v>
      </c>
    </row>
    <row r="64" spans="1:14" ht="13.5" thickBot="1" x14ac:dyDescent="0.25">
      <c r="A64" s="75">
        <v>56</v>
      </c>
      <c r="B64" s="113" t="s">
        <v>192</v>
      </c>
      <c r="C64" s="198">
        <f>'Starting Values (old)'!C64*'Starting Values'!C$8</f>
        <v>0.16374338045935083</v>
      </c>
      <c r="D64" s="198">
        <f>'Starting Values (old)'!D64*'Starting Values'!D$8</f>
        <v>6.0175812670196072</v>
      </c>
      <c r="E64" s="198">
        <f>'Starting Values (old)'!E64*'Starting Values'!E$8</f>
        <v>0.14577986018349645</v>
      </c>
      <c r="F64" s="198">
        <f>'Starting Values (old)'!F64*'Starting Values'!F$8</f>
        <v>0.20014614746442588</v>
      </c>
      <c r="G64" s="198">
        <f>'Starting Values (old)'!G64*'Starting Values'!G$8</f>
        <v>4.203077502891138</v>
      </c>
      <c r="H64" s="198">
        <f>'Starting Values (old)'!H64*'Starting Values'!H$8</f>
        <v>0.19104164087118616</v>
      </c>
      <c r="I64" s="198">
        <f>'Starting Values (old)'!I64*'Starting Values'!I$8</f>
        <v>0.52300997555808137</v>
      </c>
      <c r="J64" s="198">
        <f>'Starting Values (old)'!J64*'Starting Values'!J$8</f>
        <v>5.7425640297587997E-4</v>
      </c>
      <c r="K64" s="198">
        <f>'Starting Values (old)'!K64*'Starting Values'!K$8</f>
        <v>0.33014660215638936</v>
      </c>
      <c r="L64" s="198">
        <f>'Starting Values (old)'!L64*'Starting Values'!L$8</f>
        <v>0.99597823489578774</v>
      </c>
      <c r="M64" s="198">
        <f>'Starting Values (old)'!M64*'Starting Values'!M$8</f>
        <v>2.2972494364316405</v>
      </c>
      <c r="N64" s="198">
        <f>'Starting Values (old)'!N64*'Starting Values'!N$8</f>
        <v>0.73133228346540458</v>
      </c>
    </row>
    <row r="65" spans="1:14" ht="13.5" thickBot="1" x14ac:dyDescent="0.25">
      <c r="A65" s="75">
        <v>57</v>
      </c>
      <c r="B65" s="2" t="s">
        <v>49</v>
      </c>
      <c r="C65" s="198">
        <f>'Starting Values (old)'!C65*'Starting Values'!C$8</f>
        <v>1.0450240472379744</v>
      </c>
      <c r="D65" s="198">
        <f>'Starting Values (old)'!D65*'Starting Values'!D$8</f>
        <v>2.8930716287877929</v>
      </c>
      <c r="E65" s="198">
        <f>'Starting Values (old)'!E65*'Starting Values'!E$8</f>
        <v>0.93037934765590491</v>
      </c>
      <c r="F65" s="198">
        <f>'Starting Values (old)'!F65*'Starting Values'!F$8</f>
        <v>1.282717723836823</v>
      </c>
      <c r="G65" s="198">
        <f>'Starting Values (old)'!G65*'Starting Values'!G$8</f>
        <v>4.4472284618775175</v>
      </c>
      <c r="H65" s="198">
        <f>'Starting Values (old)'!H65*'Starting Values'!H$8</f>
        <v>1.2243678024324474</v>
      </c>
      <c r="I65" s="198">
        <f>'Starting Values (old)'!I65*'Starting Values'!I$8</f>
        <v>3.59259098240382</v>
      </c>
      <c r="J65" s="198">
        <f>'Starting Values (old)'!J65*'Starting Values'!J$8</f>
        <v>14.489993182427128</v>
      </c>
      <c r="K65" s="198">
        <f>'Starting Values (old)'!K65*'Starting Values'!K$8</f>
        <v>2.2677993942901171</v>
      </c>
      <c r="L65" s="198">
        <f>'Starting Values (old)'!L65*'Starting Values'!L$8</f>
        <v>2.6685494692655896</v>
      </c>
      <c r="M65" s="198">
        <f>'Starting Values (old)'!M65*'Starting Values'!M$8</f>
        <v>6.0758197095641462</v>
      </c>
      <c r="N65" s="198">
        <f>'Starting Values (old)'!N65*'Starting Values'!N$8</f>
        <v>1.9594769328494399</v>
      </c>
    </row>
    <row r="66" spans="1:14" ht="13.5" thickBot="1" x14ac:dyDescent="0.25">
      <c r="A66" s="75">
        <v>58</v>
      </c>
      <c r="B66" s="2" t="s">
        <v>50</v>
      </c>
      <c r="C66" s="198">
        <f>'Starting Values (old)'!C66*'Starting Values'!C$8</f>
        <v>0.19937787599283235</v>
      </c>
      <c r="D66" s="198">
        <f>'Starting Values (old)'!D66*'Starting Values'!D$8</f>
        <v>1.3196724513743431E-2</v>
      </c>
      <c r="E66" s="198">
        <f>'Starting Values (old)'!E66*'Starting Values'!E$8</f>
        <v>0.17750506191078072</v>
      </c>
      <c r="F66" s="198">
        <f>'Starting Values (old)'!F66*'Starting Values'!F$8</f>
        <v>0.72533709945422009</v>
      </c>
      <c r="G66" s="198">
        <f>'Starting Values (old)'!G66*'Starting Values'!G$8</f>
        <v>8.4858646103708642E-3</v>
      </c>
      <c r="H66" s="198">
        <f>'Starting Values (old)'!H66*'Starting Values'!H$8</f>
        <v>0.69234202816274748</v>
      </c>
      <c r="I66" s="198">
        <f>'Starting Values (old)'!I66*'Starting Values'!I$8</f>
        <v>3.8784026107734704</v>
      </c>
      <c r="J66" s="198">
        <f>'Starting Values (old)'!J66*'Starting Values'!J$8</f>
        <v>0.40723227413121438</v>
      </c>
      <c r="K66" s="198">
        <f>'Starting Values (old)'!K66*'Starting Values'!K$8</f>
        <v>2.4482161021403597</v>
      </c>
      <c r="L66" s="198">
        <f>'Starting Values (old)'!L66*'Starting Values'!L$8</f>
        <v>7.2498938264870132</v>
      </c>
      <c r="M66" s="198">
        <f>'Starting Values (old)'!M66*'Starting Values'!M$8</f>
        <v>0.76123885178113648</v>
      </c>
      <c r="N66" s="198">
        <f>'Starting Values (old)'!N66*'Starting Values'!N$8</f>
        <v>5.3234912383012674</v>
      </c>
    </row>
    <row r="67" spans="1:14" ht="13.5" thickBot="1" x14ac:dyDescent="0.25">
      <c r="A67" s="75">
        <v>59</v>
      </c>
      <c r="B67" s="2" t="s">
        <v>51</v>
      </c>
      <c r="C67" s="198">
        <f>'Starting Values (old)'!C67*'Starting Values'!C$8</f>
        <v>9.7386636421792936</v>
      </c>
      <c r="D67" s="198">
        <f>'Starting Values (old)'!D67*'Starting Values'!D$8</f>
        <v>0.34591586921236828</v>
      </c>
      <c r="E67" s="198">
        <f>'Starting Values (old)'!E67*'Starting Values'!E$8</f>
        <v>8.6702804116312802</v>
      </c>
      <c r="F67" s="198">
        <f>'Starting Values (old)'!F67*'Starting Values'!F$8</f>
        <v>12.930470824125026</v>
      </c>
      <c r="G67" s="198">
        <f>'Starting Values (old)'!G67*'Starting Values'!G$8</f>
        <v>4.5627375029935906E-2</v>
      </c>
      <c r="H67" s="198">
        <f>'Starting Values (old)'!H67*'Starting Values'!H$8</f>
        <v>12.342272857971995</v>
      </c>
      <c r="I67" s="198">
        <f>'Starting Values (old)'!I67*'Starting Values'!I$8</f>
        <v>22.236815989236426</v>
      </c>
      <c r="J67" s="198">
        <f>'Starting Values (old)'!J67*'Starting Values'!J$8</f>
        <v>6.5508468458708767E-3</v>
      </c>
      <c r="K67" s="198">
        <f>'Starting Values (old)'!K67*'Starting Values'!K$8</f>
        <v>14.036843625763687</v>
      </c>
      <c r="L67" s="198">
        <f>'Starting Values (old)'!L67*'Starting Values'!L$8</f>
        <v>19.624180113402112</v>
      </c>
      <c r="M67" s="198">
        <f>'Starting Values (old)'!M67*'Starting Values'!M$8</f>
        <v>1.6225112079566048E-2</v>
      </c>
      <c r="N67" s="198">
        <f>'Starting Values (old)'!N67*'Starting Values'!N$8</f>
        <v>14.409749079479054</v>
      </c>
    </row>
    <row r="68" spans="1:14" ht="13.5" thickBot="1" x14ac:dyDescent="0.25">
      <c r="A68" s="75">
        <v>60</v>
      </c>
      <c r="B68" s="113" t="s">
        <v>193</v>
      </c>
      <c r="C68" s="198">
        <f>'Starting Values (old)'!C68*'Starting Values'!C$8</f>
        <v>0.27738202729181161</v>
      </c>
      <c r="D68" s="198">
        <f>'Starting Values (old)'!D68*'Starting Values'!D$8</f>
        <v>3.2159535704079159E-2</v>
      </c>
      <c r="E68" s="198">
        <f>'Starting Values (old)'!E68*'Starting Values'!E$8</f>
        <v>0.24695174267550607</v>
      </c>
      <c r="F68" s="198">
        <f>'Starting Values (old)'!F68*'Starting Values'!F$8</f>
        <v>0.56558833614051707</v>
      </c>
      <c r="G68" s="198">
        <f>'Starting Values (old)'!G68*'Starting Values'!G$8</f>
        <v>8.8783462912755337E-3</v>
      </c>
      <c r="H68" s="198">
        <f>'Starting Values (old)'!H68*'Starting Values'!H$8</f>
        <v>0.53986012302881536</v>
      </c>
      <c r="I68" s="198">
        <f>'Starting Values (old)'!I68*'Starting Values'!I$8</f>
        <v>2.9274121638460961</v>
      </c>
      <c r="J68" s="198">
        <f>'Starting Values (old)'!J68*'Starting Values'!J$8</f>
        <v>8.2490082148965966E-4</v>
      </c>
      <c r="K68" s="198">
        <f>'Starting Values (old)'!K68*'Starting Values'!K$8</f>
        <v>1.8479096464150382</v>
      </c>
      <c r="L68" s="198">
        <f>'Starting Values (old)'!L68*'Starting Values'!L$8</f>
        <v>3.3345594933352585</v>
      </c>
      <c r="M68" s="198">
        <f>'Starting Values (old)'!M68*'Starting Values'!M$8</f>
        <v>1.1982548878847473E-2</v>
      </c>
      <c r="N68" s="198">
        <f>'Starting Values (old)'!N68*'Starting Values'!N$8</f>
        <v>2.4485183743671697</v>
      </c>
    </row>
    <row r="69" spans="1:14" ht="13.5" thickBot="1" x14ac:dyDescent="0.25">
      <c r="B69" s="2" t="s">
        <v>326</v>
      </c>
      <c r="C69" s="198">
        <f>'Starting Values (old)'!C69*'Starting Values'!C$8</f>
        <v>4.3463103971582786</v>
      </c>
      <c r="D69" s="198">
        <f>'Starting Values (old)'!D69*'Starting Values'!D$8</f>
        <v>0.17981152394448305</v>
      </c>
      <c r="E69" s="198">
        <f>'Starting Values (old)'!E69*'Starting Values'!E$8</f>
        <v>3.8694970156005946</v>
      </c>
      <c r="F69" s="198">
        <f>'Starting Values (old)'!F69*'Starting Values'!F$8</f>
        <v>7.155197085151813</v>
      </c>
      <c r="G69" s="198">
        <f>'Starting Values (old)'!G69*'Starting Values'!G$8</f>
        <v>2.6775326429042179E-2</v>
      </c>
      <c r="H69" s="198">
        <f>'Starting Values (old)'!H69*'Starting Values'!H$8</f>
        <v>6.8297122338919447</v>
      </c>
      <c r="I69" s="198">
        <f>'Starting Values (old)'!I69*'Starting Values'!I$8</f>
        <v>3.5774257199119139</v>
      </c>
      <c r="J69" s="198">
        <f>'Starting Values (old)'!J69*'Starting Values'!J$8</f>
        <v>1.3118240602957101E-3</v>
      </c>
      <c r="K69" s="198">
        <f>'Starting Values (old)'!K69*'Starting Values'!K$8</f>
        <v>2.2582264222312762</v>
      </c>
      <c r="L69" s="198">
        <f>'Starting Values (old)'!L69*'Starting Values'!L$8</f>
        <v>5.3215573327919268</v>
      </c>
      <c r="M69" s="198">
        <f>'Starting Values (old)'!M69*'Starting Values'!M$8</f>
        <v>5.6029086712477312E-3</v>
      </c>
      <c r="N69" s="198">
        <f>'Starting Values (old)'!N69*'Starting Values'!N$8</f>
        <v>3.9075418914048878</v>
      </c>
    </row>
    <row r="70" spans="1:14" ht="13.5" thickBot="1" x14ac:dyDescent="0.25">
      <c r="A70" s="319"/>
      <c r="B70" s="320" t="s">
        <v>500</v>
      </c>
      <c r="C70" s="321">
        <f t="shared" ref="C70:N70" si="0">SUM(C12:C69)</f>
        <v>156.58378930917291</v>
      </c>
      <c r="D70" s="322">
        <f t="shared" si="0"/>
        <v>139.40571428571442</v>
      </c>
      <c r="E70" s="323">
        <f t="shared" si="0"/>
        <v>139.40571428571445</v>
      </c>
      <c r="F70" s="322">
        <f t="shared" si="0"/>
        <v>164.70368251896551</v>
      </c>
      <c r="G70" s="322">
        <f t="shared" si="0"/>
        <v>157.21142857142806</v>
      </c>
      <c r="H70" s="323">
        <f t="shared" si="0"/>
        <v>157.211428571428</v>
      </c>
      <c r="I70" s="322">
        <f t="shared" si="0"/>
        <v>297.89730922563069</v>
      </c>
      <c r="J70" s="322">
        <f t="shared" si="0"/>
        <v>188.0457142857139</v>
      </c>
      <c r="K70" s="323">
        <f t="shared" si="0"/>
        <v>188.0457142857137</v>
      </c>
      <c r="L70" s="322">
        <f t="shared" si="0"/>
        <v>227.70437547962169</v>
      </c>
      <c r="M70" s="322">
        <f t="shared" si="0"/>
        <v>167.19999999999985</v>
      </c>
      <c r="N70" s="323">
        <f t="shared" si="0"/>
        <v>167.19999999999982</v>
      </c>
    </row>
  </sheetData>
  <mergeCells count="4">
    <mergeCell ref="C9:E9"/>
    <mergeCell ref="F9:H9"/>
    <mergeCell ref="I9:K9"/>
    <mergeCell ref="L9:N9"/>
  </mergeCells>
  <phoneticPr fontId="1" type="noConversion"/>
  <pageMargins left="0.75" right="0.75" top="1" bottom="1" header="0.5" footer="0.5"/>
  <pageSetup orientation="portrait" horizontalDpi="4294967292" verticalDpi="4294967292"/>
  <headerFooter alignWithMargins="0"/>
  <ignoredErrors>
    <ignoredError sqref="C17 N6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70"/>
  <sheetViews>
    <sheetView workbookViewId="0">
      <pane xSplit="2" ySplit="10" topLeftCell="C11" activePane="bottomRight" state="frozen"/>
      <selection activeCell="C5" sqref="C5"/>
      <selection pane="topRight" activeCell="C5" sqref="C5"/>
      <selection pane="bottomLeft" activeCell="C5" sqref="C5"/>
      <selection pane="bottomRight" activeCell="B2" sqref="B2"/>
    </sheetView>
  </sheetViews>
  <sheetFormatPr defaultColWidth="8.7109375" defaultRowHeight="12.75" x14ac:dyDescent="0.2"/>
  <cols>
    <col min="1" max="1" width="8.7109375" style="20" hidden="1" customWidth="1"/>
    <col min="2" max="2" width="26.85546875" style="20" customWidth="1"/>
    <col min="3" max="3" width="20" style="20" customWidth="1"/>
    <col min="4" max="4" width="15.7109375" style="20" customWidth="1"/>
    <col min="5" max="5" width="17.42578125" style="20" customWidth="1"/>
    <col min="6" max="6" width="19.42578125" style="20" customWidth="1"/>
    <col min="7" max="7" width="15.7109375" style="20" customWidth="1"/>
    <col min="8" max="8" width="18.42578125" style="20" customWidth="1"/>
    <col min="9" max="9" width="19.7109375" style="20" customWidth="1"/>
    <col min="10" max="10" width="15.7109375" style="20" customWidth="1"/>
    <col min="11" max="11" width="18.42578125" style="20" customWidth="1"/>
    <col min="12" max="12" width="20.42578125" style="20" customWidth="1"/>
    <col min="13" max="13" width="15.7109375" style="20" customWidth="1"/>
    <col min="14" max="14" width="18.28515625" style="20" customWidth="1"/>
    <col min="15" max="16384" width="8.7109375" style="20"/>
  </cols>
  <sheetData>
    <row r="1" spans="1:14" ht="15.75" x14ac:dyDescent="0.25">
      <c r="B1" s="328" t="s">
        <v>659</v>
      </c>
    </row>
    <row r="2" spans="1:14" ht="15.75" x14ac:dyDescent="0.25">
      <c r="B2" s="10" t="s">
        <v>8</v>
      </c>
    </row>
    <row r="3" spans="1:14" ht="12.75" customHeight="1" x14ac:dyDescent="0.25">
      <c r="B3" s="10"/>
    </row>
    <row r="4" spans="1:14" x14ac:dyDescent="0.2">
      <c r="B4" s="275" t="s">
        <v>152</v>
      </c>
    </row>
    <row r="5" spans="1:14" ht="12.75" customHeight="1" x14ac:dyDescent="0.2">
      <c r="B5" s="276" t="s">
        <v>161</v>
      </c>
      <c r="C5" s="189"/>
    </row>
    <row r="6" spans="1:14" ht="12.75" customHeight="1" x14ac:dyDescent="0.2">
      <c r="B6" s="276" t="s">
        <v>25</v>
      </c>
      <c r="C6" s="189"/>
    </row>
    <row r="7" spans="1:14" ht="12.75" customHeight="1" x14ac:dyDescent="0.2">
      <c r="B7" s="276" t="s">
        <v>24</v>
      </c>
      <c r="C7" s="189"/>
    </row>
    <row r="8" spans="1:14" ht="12.75" customHeight="1" thickBot="1" x14ac:dyDescent="0.3">
      <c r="B8" s="10"/>
    </row>
    <row r="9" spans="1:14" s="14" customFormat="1" ht="15.75" x14ac:dyDescent="0.25">
      <c r="B9" s="10"/>
      <c r="C9" s="479" t="s">
        <v>557</v>
      </c>
      <c r="D9" s="349"/>
      <c r="E9" s="472"/>
      <c r="F9" s="480" t="s">
        <v>365</v>
      </c>
      <c r="G9" s="349"/>
      <c r="H9" s="472"/>
      <c r="I9" s="479" t="s">
        <v>366</v>
      </c>
      <c r="J9" s="349"/>
      <c r="K9" s="472"/>
      <c r="L9" s="479" t="s">
        <v>367</v>
      </c>
      <c r="M9" s="349"/>
      <c r="N9" s="472"/>
    </row>
    <row r="10" spans="1:14" s="14" customFormat="1" ht="13.5" thickBot="1" x14ac:dyDescent="0.25">
      <c r="B10" s="193" t="s">
        <v>591</v>
      </c>
      <c r="C10" s="194" t="s">
        <v>212</v>
      </c>
      <c r="D10" s="195" t="s">
        <v>363</v>
      </c>
      <c r="E10" s="196" t="s">
        <v>364</v>
      </c>
      <c r="F10" s="195" t="s">
        <v>212</v>
      </c>
      <c r="G10" s="195" t="s">
        <v>363</v>
      </c>
      <c r="H10" s="196" t="s">
        <v>364</v>
      </c>
      <c r="I10" s="194" t="s">
        <v>212</v>
      </c>
      <c r="J10" s="195" t="s">
        <v>363</v>
      </c>
      <c r="K10" s="196" t="s">
        <v>364</v>
      </c>
      <c r="L10" s="194" t="s">
        <v>212</v>
      </c>
      <c r="M10" s="195" t="s">
        <v>363</v>
      </c>
      <c r="N10" s="196" t="s">
        <v>364</v>
      </c>
    </row>
    <row r="11" spans="1:14" customFormat="1" ht="12" hidden="1" customHeight="1" x14ac:dyDescent="0.2">
      <c r="B11" s="2"/>
      <c r="C11" s="179" t="s">
        <v>399</v>
      </c>
      <c r="D11" s="156" t="s">
        <v>400</v>
      </c>
      <c r="E11" s="173" t="s">
        <v>402</v>
      </c>
      <c r="F11" s="156"/>
      <c r="G11" s="156"/>
      <c r="H11" s="173"/>
      <c r="I11" s="179" t="s">
        <v>257</v>
      </c>
      <c r="J11" s="156" t="s">
        <v>258</v>
      </c>
      <c r="K11" s="173" t="s">
        <v>259</v>
      </c>
      <c r="L11" s="179" t="s">
        <v>260</v>
      </c>
      <c r="M11" s="156" t="s">
        <v>110</v>
      </c>
      <c r="N11" s="173" t="s">
        <v>261</v>
      </c>
    </row>
    <row r="12" spans="1:14" x14ac:dyDescent="0.2">
      <c r="A12" s="75">
        <v>2</v>
      </c>
      <c r="B12" s="2" t="s">
        <v>577</v>
      </c>
      <c r="C12" s="198">
        <v>3.0923945420282957</v>
      </c>
      <c r="D12" s="199">
        <v>0.1925873004063702</v>
      </c>
      <c r="E12" s="202">
        <v>2.7531424030970548</v>
      </c>
      <c r="F12" s="197">
        <v>2.4007048452919437</v>
      </c>
      <c r="G12" s="199">
        <v>1.5042987963445997E-2</v>
      </c>
      <c r="H12" s="202">
        <v>2.2914984809962333</v>
      </c>
      <c r="I12" s="198">
        <v>2.130463749605862</v>
      </c>
      <c r="J12" s="199">
        <v>2.3264457728922592E-3</v>
      </c>
      <c r="K12" s="202">
        <v>1.344841209193391</v>
      </c>
      <c r="L12" s="198">
        <v>2.2614711731334034</v>
      </c>
      <c r="M12" s="199">
        <v>5.1721411517525132E-3</v>
      </c>
      <c r="N12" s="202">
        <v>1.660565280537371</v>
      </c>
    </row>
    <row r="13" spans="1:14" x14ac:dyDescent="0.2">
      <c r="A13" s="75">
        <v>3</v>
      </c>
      <c r="B13" s="113" t="s">
        <v>327</v>
      </c>
      <c r="C13" s="200">
        <v>1.9894334636361422</v>
      </c>
      <c r="D13" s="197">
        <v>10.519845816143995</v>
      </c>
      <c r="E13" s="201">
        <v>1.7711820249444705</v>
      </c>
      <c r="F13" s="197">
        <v>2.7698042198003487</v>
      </c>
      <c r="G13" s="197">
        <v>16.156815741815532</v>
      </c>
      <c r="H13" s="201">
        <v>2.6438077861910649</v>
      </c>
      <c r="I13" s="200">
        <v>1.8353980350186465</v>
      </c>
      <c r="J13" s="197">
        <v>16.963296066948253</v>
      </c>
      <c r="K13" s="201">
        <v>1.1585829203722862</v>
      </c>
      <c r="L13" s="200">
        <v>1.7758743312467034</v>
      </c>
      <c r="M13" s="197">
        <v>17.983093280979631</v>
      </c>
      <c r="N13" s="201">
        <v>1.30399860590743</v>
      </c>
    </row>
    <row r="14" spans="1:14" x14ac:dyDescent="0.2">
      <c r="A14" s="75">
        <v>4</v>
      </c>
      <c r="B14" s="2" t="s">
        <v>29</v>
      </c>
      <c r="C14" s="200">
        <v>2.0230094980841198</v>
      </c>
      <c r="D14" s="197">
        <v>0.1443780136439092</v>
      </c>
      <c r="E14" s="201">
        <v>1.8010745897224254</v>
      </c>
      <c r="F14" s="197">
        <v>1.851328763397414</v>
      </c>
      <c r="G14" s="197">
        <v>1.5326949937963498E-2</v>
      </c>
      <c r="H14" s="201">
        <v>1.7671131282420984</v>
      </c>
      <c r="I14" s="200">
        <v>3.5965050201347832</v>
      </c>
      <c r="J14" s="197">
        <v>1.7492122468808348E-3</v>
      </c>
      <c r="K14" s="201">
        <v>2.2702701048271594</v>
      </c>
      <c r="L14" s="200">
        <v>2.7740912553273365</v>
      </c>
      <c r="M14" s="197">
        <v>6.1634725735600264E-3</v>
      </c>
      <c r="N14" s="201">
        <v>2.0369747261718318</v>
      </c>
    </row>
    <row r="15" spans="1:14" x14ac:dyDescent="0.2">
      <c r="A15" s="75">
        <v>5</v>
      </c>
      <c r="B15" s="113" t="s">
        <v>60</v>
      </c>
      <c r="C15" s="200">
        <v>4.410842614252438</v>
      </c>
      <c r="D15" s="197">
        <v>0.19394397671175234</v>
      </c>
      <c r="E15" s="201">
        <v>3.9269497050401716</v>
      </c>
      <c r="F15" s="197">
        <v>4.9482993256576577</v>
      </c>
      <c r="G15" s="197">
        <v>2.239518280698E-2</v>
      </c>
      <c r="H15" s="201">
        <v>4.7232046915289576</v>
      </c>
      <c r="I15" s="200">
        <v>1.8596186348267165</v>
      </c>
      <c r="J15" s="197">
        <v>6.6391565249621142E-4</v>
      </c>
      <c r="K15" s="201">
        <v>1.1738720144670811</v>
      </c>
      <c r="L15" s="200">
        <v>2.4688092338737588</v>
      </c>
      <c r="M15" s="197">
        <v>3.812857463780669E-3</v>
      </c>
      <c r="N15" s="201">
        <v>1.8128105928321709</v>
      </c>
    </row>
    <row r="16" spans="1:14" x14ac:dyDescent="0.2">
      <c r="A16" s="75">
        <v>6</v>
      </c>
      <c r="B16" s="113" t="s">
        <v>61</v>
      </c>
      <c r="C16" s="200">
        <v>2.3053039745043167</v>
      </c>
      <c r="D16" s="197">
        <v>0.15017025632885314</v>
      </c>
      <c r="E16" s="201">
        <v>2.0523998597129629</v>
      </c>
      <c r="F16" s="197">
        <v>1.7993306323831852</v>
      </c>
      <c r="G16" s="197">
        <v>1.9848187764859505E-2</v>
      </c>
      <c r="H16" s="201">
        <v>1.7174803554056448</v>
      </c>
      <c r="I16" s="200">
        <v>1.4877000426067974</v>
      </c>
      <c r="J16" s="197">
        <v>7.1484695344909885E-4</v>
      </c>
      <c r="K16" s="201">
        <v>0.93910085284789291</v>
      </c>
      <c r="L16" s="200">
        <v>0.52285892629965081</v>
      </c>
      <c r="M16" s="197">
        <v>1.6825654242362516E-3</v>
      </c>
      <c r="N16" s="201">
        <v>0.38392767944472533</v>
      </c>
    </row>
    <row r="17" spans="1:14" x14ac:dyDescent="0.2">
      <c r="A17" s="75">
        <v>7</v>
      </c>
      <c r="B17" s="113" t="s">
        <v>425</v>
      </c>
      <c r="C17" s="200">
        <v>1.3710009247381214</v>
      </c>
      <c r="D17" s="197">
        <v>0.15482497325850569</v>
      </c>
      <c r="E17" s="201">
        <v>1.2205948268509323</v>
      </c>
      <c r="F17" s="197">
        <v>1.6255409881716971</v>
      </c>
      <c r="G17" s="197">
        <v>1.8492504721032872E-2</v>
      </c>
      <c r="H17" s="201">
        <v>1.5515962791084306</v>
      </c>
      <c r="I17" s="200">
        <v>2.4347228800803702</v>
      </c>
      <c r="J17" s="197">
        <v>3.8929562542608636E-3</v>
      </c>
      <c r="K17" s="201">
        <v>1.5369027812389919</v>
      </c>
      <c r="L17" s="200">
        <v>1.2870253031934742</v>
      </c>
      <c r="M17" s="197">
        <v>3.717734536149573E-3</v>
      </c>
      <c r="N17" s="201">
        <v>0.94504389843491243</v>
      </c>
    </row>
    <row r="18" spans="1:14" x14ac:dyDescent="0.2">
      <c r="A18" s="75">
        <v>8</v>
      </c>
      <c r="B18" s="113" t="s">
        <v>324</v>
      </c>
      <c r="C18" s="200">
        <v>1.067857189332057</v>
      </c>
      <c r="D18" s="197">
        <v>0.11988476895025643</v>
      </c>
      <c r="E18" s="201">
        <v>0.95070757254467597</v>
      </c>
      <c r="F18" s="197">
        <v>0.80466597325773503</v>
      </c>
      <c r="G18" s="197">
        <v>9.2013751909100563E-3</v>
      </c>
      <c r="H18" s="201">
        <v>0.76806228764253803</v>
      </c>
      <c r="I18" s="200">
        <v>3.1801775602928046</v>
      </c>
      <c r="J18" s="197">
        <v>1.431997289502976E-3</v>
      </c>
      <c r="K18" s="201">
        <v>2.0074661380298453</v>
      </c>
      <c r="L18" s="200">
        <v>2.9210674527595519</v>
      </c>
      <c r="M18" s="197">
        <v>8.5072034520695464E-3</v>
      </c>
      <c r="N18" s="201">
        <v>2.1448972031066931</v>
      </c>
    </row>
    <row r="19" spans="1:14" x14ac:dyDescent="0.2">
      <c r="A19" s="75">
        <v>9</v>
      </c>
      <c r="B19" s="113" t="s">
        <v>616</v>
      </c>
      <c r="C19" s="200">
        <v>0.34287835143056672</v>
      </c>
      <c r="D19" s="197">
        <v>7.4021694783656597</v>
      </c>
      <c r="E19" s="201">
        <v>0.30526277148592551</v>
      </c>
      <c r="F19" s="197">
        <v>0.41177559602713321</v>
      </c>
      <c r="G19" s="197">
        <v>6.0486928632063384</v>
      </c>
      <c r="H19" s="201">
        <v>0.39304421560108427</v>
      </c>
      <c r="I19" s="200">
        <v>0.64369703379340115</v>
      </c>
      <c r="J19" s="197">
        <v>3.9132311896582981</v>
      </c>
      <c r="K19" s="201">
        <v>0.40632951273687085</v>
      </c>
      <c r="L19" s="200">
        <v>0.19444056899357362</v>
      </c>
      <c r="M19" s="197">
        <v>4.0775388155977952</v>
      </c>
      <c r="N19" s="201">
        <v>0.14277487231963623</v>
      </c>
    </row>
    <row r="20" spans="1:14" x14ac:dyDescent="0.2">
      <c r="A20" s="75">
        <v>10</v>
      </c>
      <c r="B20" s="113" t="s">
        <v>617</v>
      </c>
      <c r="C20" s="200">
        <v>4.3218048786162351</v>
      </c>
      <c r="D20" s="197">
        <v>1.3038760617799561</v>
      </c>
      <c r="E20" s="201">
        <v>3.8476798828605627</v>
      </c>
      <c r="F20" s="197">
        <v>2.3532453803759066</v>
      </c>
      <c r="G20" s="197">
        <v>7.1709120712575361E-2</v>
      </c>
      <c r="H20" s="201">
        <v>2.2461979135494392</v>
      </c>
      <c r="I20" s="200">
        <v>8.9182993732987512</v>
      </c>
      <c r="J20" s="197">
        <v>3.7921091627387783E-3</v>
      </c>
      <c r="K20" s="201">
        <v>5.629617737149764</v>
      </c>
      <c r="L20" s="200">
        <v>3.8291238802539538</v>
      </c>
      <c r="M20" s="197">
        <v>2.4463087908659871E-2</v>
      </c>
      <c r="N20" s="201">
        <v>2.8116697864497464</v>
      </c>
    </row>
    <row r="21" spans="1:14" x14ac:dyDescent="0.2">
      <c r="A21" s="75">
        <v>11</v>
      </c>
      <c r="B21" s="113" t="s">
        <v>562</v>
      </c>
      <c r="C21" s="200">
        <v>8.9921165043851711E-2</v>
      </c>
      <c r="D21" s="197">
        <v>2.4774877797986949</v>
      </c>
      <c r="E21" s="201">
        <v>8.0056334679642419E-2</v>
      </c>
      <c r="F21" s="197">
        <v>0.25406384783166441</v>
      </c>
      <c r="G21" s="197">
        <v>1.3344808895109124E-2</v>
      </c>
      <c r="H21" s="201">
        <v>0.24250666320937045</v>
      </c>
      <c r="I21" s="200">
        <v>0.20246356142456748</v>
      </c>
      <c r="J21" s="197">
        <v>2.0642089687775307E-4</v>
      </c>
      <c r="K21" s="201">
        <v>0.1278037895806432</v>
      </c>
      <c r="L21" s="200">
        <v>0.42866541844276868</v>
      </c>
      <c r="M21" s="197">
        <v>1.9209547699984717</v>
      </c>
      <c r="N21" s="201">
        <v>0.31476276120150892</v>
      </c>
    </row>
    <row r="22" spans="1:14" x14ac:dyDescent="0.2">
      <c r="A22" s="75">
        <v>12</v>
      </c>
      <c r="B22" s="113" t="s">
        <v>571</v>
      </c>
      <c r="C22" s="200">
        <v>0.17773351590186723</v>
      </c>
      <c r="D22" s="197">
        <v>4.3570142216235508E-2</v>
      </c>
      <c r="E22" s="201">
        <v>0.15823520331270782</v>
      </c>
      <c r="F22" s="197">
        <v>0.77219707216076616</v>
      </c>
      <c r="G22" s="197">
        <v>2.5872343423339484E-2</v>
      </c>
      <c r="H22" s="201">
        <v>0.7370703738763652</v>
      </c>
      <c r="I22" s="200">
        <v>2.5702813238391129</v>
      </c>
      <c r="J22" s="197">
        <v>1.1200349802977028E-3</v>
      </c>
      <c r="K22" s="201">
        <v>1.6224731559776413</v>
      </c>
      <c r="L22" s="200">
        <v>2.4303573135793743</v>
      </c>
      <c r="M22" s="197">
        <v>2.5114073127821001E-2</v>
      </c>
      <c r="N22" s="201">
        <v>1.7845759088930544</v>
      </c>
    </row>
    <row r="23" spans="1:14" x14ac:dyDescent="0.2">
      <c r="A23" s="75">
        <v>13</v>
      </c>
      <c r="B23" s="113" t="s">
        <v>450</v>
      </c>
      <c r="C23" s="200">
        <v>3.9000676323648814E-2</v>
      </c>
      <c r="D23" s="197">
        <v>1.7139778354916372E-2</v>
      </c>
      <c r="E23" s="201">
        <v>3.4722094570013767E-2</v>
      </c>
      <c r="F23" s="197">
        <v>3.9000676323648814E-2</v>
      </c>
      <c r="G23" s="197">
        <v>1.9345701629470742</v>
      </c>
      <c r="H23" s="201">
        <v>3.7226563160703316E-2</v>
      </c>
      <c r="I23" s="200">
        <v>0.31943671270702512</v>
      </c>
      <c r="J23" s="197">
        <v>2.1862114303973907</v>
      </c>
      <c r="K23" s="201">
        <v>0.20164232085955577</v>
      </c>
      <c r="L23" s="200">
        <v>2.5561565009653092E-2</v>
      </c>
      <c r="M23" s="197">
        <v>1.8787787857595586</v>
      </c>
      <c r="N23" s="201">
        <v>1.8769484163893395E-2</v>
      </c>
    </row>
    <row r="24" spans="1:14" x14ac:dyDescent="0.2">
      <c r="A24" s="75">
        <v>14</v>
      </c>
      <c r="B24" s="113" t="s">
        <v>451</v>
      </c>
      <c r="C24" s="200">
        <v>0.35234368808084954</v>
      </c>
      <c r="D24" s="197">
        <v>0.11278867528065128</v>
      </c>
      <c r="E24" s="201">
        <v>0.31368971033131293</v>
      </c>
      <c r="F24" s="197">
        <v>0.67541243776513937</v>
      </c>
      <c r="G24" s="197">
        <v>5.9154518648933098E-2</v>
      </c>
      <c r="H24" s="201">
        <v>0.64468840399935423</v>
      </c>
      <c r="I24" s="200">
        <v>1.7445740949017225</v>
      </c>
      <c r="J24" s="197">
        <v>6.7316029161197351E-4</v>
      </c>
      <c r="K24" s="201">
        <v>1.1012509064043654</v>
      </c>
      <c r="L24" s="200">
        <v>3.051971952859827</v>
      </c>
      <c r="M24" s="197">
        <v>5.4189898714379112E-2</v>
      </c>
      <c r="N24" s="201">
        <v>2.2410184672267355</v>
      </c>
    </row>
    <row r="25" spans="1:14" x14ac:dyDescent="0.2">
      <c r="A25" s="75">
        <v>15</v>
      </c>
      <c r="B25" s="113" t="s">
        <v>452</v>
      </c>
      <c r="C25" s="200">
        <v>0.47998635196368133</v>
      </c>
      <c r="D25" s="197">
        <v>0.16453313251362109</v>
      </c>
      <c r="E25" s="201">
        <v>0.42732929467412917</v>
      </c>
      <c r="F25" s="197">
        <v>0.23797015610909172</v>
      </c>
      <c r="G25" s="197">
        <v>6.5575105830267379E-3</v>
      </c>
      <c r="H25" s="201">
        <v>0.22714506213282817</v>
      </c>
      <c r="I25" s="200">
        <v>0.65283944435635188</v>
      </c>
      <c r="J25" s="197">
        <v>1.8280272012090677</v>
      </c>
      <c r="K25" s="201">
        <v>0.41210059918633318</v>
      </c>
      <c r="L25" s="200">
        <v>0.53070501902960976</v>
      </c>
      <c r="M25" s="197">
        <v>1.4583269375428786E-3</v>
      </c>
      <c r="N25" s="201">
        <v>0.3896889508374507</v>
      </c>
    </row>
    <row r="26" spans="1:14" x14ac:dyDescent="0.2">
      <c r="A26" s="75">
        <v>16</v>
      </c>
      <c r="B26" s="113" t="s">
        <v>453</v>
      </c>
      <c r="C26" s="200">
        <v>0.62027920386412627</v>
      </c>
      <c r="D26" s="197">
        <v>7.773009151385929E-2</v>
      </c>
      <c r="E26" s="201">
        <v>0.55223127408494266</v>
      </c>
      <c r="F26" s="197">
        <v>0.66392546612602843</v>
      </c>
      <c r="G26" s="197">
        <v>9.7449041272585635E-3</v>
      </c>
      <c r="H26" s="201">
        <v>0.63372396657011731</v>
      </c>
      <c r="I26" s="200">
        <v>3.8374870656637183</v>
      </c>
      <c r="J26" s="197">
        <v>2.1388480234645476E-3</v>
      </c>
      <c r="K26" s="201">
        <v>2.4223884337886283</v>
      </c>
      <c r="L26" s="200">
        <v>2.3533364330775162</v>
      </c>
      <c r="M26" s="197">
        <v>6.8603562941868699E-3</v>
      </c>
      <c r="N26" s="201">
        <v>1.7280206003146155</v>
      </c>
    </row>
    <row r="27" spans="1:14" x14ac:dyDescent="0.2">
      <c r="A27" s="75">
        <v>17</v>
      </c>
      <c r="B27" s="113" t="s">
        <v>445</v>
      </c>
      <c r="C27" s="200">
        <v>6.8129912706246529E-3</v>
      </c>
      <c r="D27" s="197">
        <v>0.50075585990062887</v>
      </c>
      <c r="E27" s="201">
        <v>6.0655698696143873E-3</v>
      </c>
      <c r="F27" s="197">
        <v>6.8129912706246529E-3</v>
      </c>
      <c r="G27" s="197">
        <v>1.7884137853593887</v>
      </c>
      <c r="H27" s="201">
        <v>6.5030731196689274E-3</v>
      </c>
      <c r="I27" s="200">
        <v>0.10850722996833445</v>
      </c>
      <c r="J27" s="197">
        <v>7.9752973532353888</v>
      </c>
      <c r="K27" s="201">
        <v>6.8494474211934622E-2</v>
      </c>
      <c r="L27" s="200">
        <v>0.26081338919125296</v>
      </c>
      <c r="M27" s="197">
        <v>10.131349355795214</v>
      </c>
      <c r="N27" s="201">
        <v>0.19151146560501711</v>
      </c>
    </row>
    <row r="28" spans="1:14" x14ac:dyDescent="0.2">
      <c r="A28" s="75">
        <v>18</v>
      </c>
      <c r="B28" s="113" t="s">
        <v>446</v>
      </c>
      <c r="C28" s="200">
        <v>4.2519322050770612</v>
      </c>
      <c r="D28" s="197">
        <v>2.644663736242689</v>
      </c>
      <c r="E28" s="201">
        <v>3.7854726134698069</v>
      </c>
      <c r="F28" s="197">
        <v>3.3890654209271718</v>
      </c>
      <c r="G28" s="197">
        <v>0.31491496090904225</v>
      </c>
      <c r="H28" s="201">
        <v>3.2348992335653266</v>
      </c>
      <c r="I28" s="200">
        <v>3.6194199269087735</v>
      </c>
      <c r="J28" s="197">
        <v>1.9561504921017372E-3</v>
      </c>
      <c r="K28" s="201">
        <v>2.2847349887944119</v>
      </c>
      <c r="L28" s="200">
        <v>3.3472659867255627</v>
      </c>
      <c r="M28" s="197">
        <v>3.1820555899955361E-2</v>
      </c>
      <c r="N28" s="201">
        <v>2.4578485670364318</v>
      </c>
    </row>
    <row r="29" spans="1:14" x14ac:dyDescent="0.2">
      <c r="A29" s="75">
        <v>19</v>
      </c>
      <c r="B29" s="2" t="s">
        <v>578</v>
      </c>
      <c r="C29" s="200">
        <v>1.7276815812934654</v>
      </c>
      <c r="D29" s="197">
        <v>9.6137971556162632E-2</v>
      </c>
      <c r="E29" s="201">
        <v>1.5381457171338158</v>
      </c>
      <c r="F29" s="197">
        <v>1.3325656569399984</v>
      </c>
      <c r="G29" s="197">
        <v>6.9347009968290414E-3</v>
      </c>
      <c r="H29" s="201">
        <v>1.2719481883390029</v>
      </c>
      <c r="I29" s="200">
        <v>1.6168601259630044</v>
      </c>
      <c r="J29" s="197">
        <v>1.1105990439403642E-3</v>
      </c>
      <c r="K29" s="201">
        <v>1.0206323047265815</v>
      </c>
      <c r="L29" s="200">
        <v>1.4750079679737513</v>
      </c>
      <c r="M29" s="197">
        <v>1.9536206321227167E-3</v>
      </c>
      <c r="N29" s="201">
        <v>1.0830768259316228</v>
      </c>
    </row>
    <row r="30" spans="1:14" x14ac:dyDescent="0.2">
      <c r="A30" s="75">
        <v>20</v>
      </c>
      <c r="B30" s="113" t="s">
        <v>447</v>
      </c>
      <c r="C30" s="200">
        <v>0.99494617927432361</v>
      </c>
      <c r="D30" s="197">
        <v>2.6117389440625409</v>
      </c>
      <c r="E30" s="201">
        <v>0.88579528832142151</v>
      </c>
      <c r="F30" s="197">
        <v>0.94792909628707622</v>
      </c>
      <c r="G30" s="197">
        <v>4.8794300915754561E-2</v>
      </c>
      <c r="H30" s="201">
        <v>0.90480847260080999</v>
      </c>
      <c r="I30" s="200">
        <v>2.5193186419485478</v>
      </c>
      <c r="J30" s="197">
        <v>1.5201771124818434E-3</v>
      </c>
      <c r="K30" s="201">
        <v>1.590303298710591</v>
      </c>
      <c r="L30" s="200">
        <v>2.5901578878591551</v>
      </c>
      <c r="M30" s="197">
        <v>1.5874280923676955E-2</v>
      </c>
      <c r="N30" s="201">
        <v>1.9019151385995581</v>
      </c>
    </row>
    <row r="31" spans="1:14" x14ac:dyDescent="0.2">
      <c r="A31" s="75">
        <v>21</v>
      </c>
      <c r="B31" s="2" t="s">
        <v>579</v>
      </c>
      <c r="C31" s="200">
        <v>0.90898104067955865</v>
      </c>
      <c r="D31" s="197">
        <v>0.64273945174282221</v>
      </c>
      <c r="E31" s="201">
        <v>0.80926098293549609</v>
      </c>
      <c r="F31" s="197">
        <v>0.91280243752428636</v>
      </c>
      <c r="G31" s="197">
        <v>1.367604037205383</v>
      </c>
      <c r="H31" s="201">
        <v>0.87127970068398675</v>
      </c>
      <c r="I31" s="200">
        <v>1.734737932888897</v>
      </c>
      <c r="J31" s="197">
        <v>1.3450992188064144</v>
      </c>
      <c r="K31" s="201">
        <v>1.0950418939217086</v>
      </c>
      <c r="L31" s="200">
        <v>1.743963115596296</v>
      </c>
      <c r="M31" s="197">
        <v>4.9195680423171264E-3</v>
      </c>
      <c r="N31" s="201">
        <v>1.2805666659391721</v>
      </c>
    </row>
    <row r="32" spans="1:14" x14ac:dyDescent="0.2">
      <c r="A32" s="75">
        <v>22</v>
      </c>
      <c r="B32" s="2" t="s">
        <v>580</v>
      </c>
      <c r="C32" s="200">
        <v>2.990078546281592</v>
      </c>
      <c r="D32" s="197">
        <v>0.29399527733664993</v>
      </c>
      <c r="E32" s="201">
        <v>2.6620510166077396</v>
      </c>
      <c r="F32" s="197">
        <v>6.5641200464837937</v>
      </c>
      <c r="G32" s="197">
        <v>8.0367478056161401E-2</v>
      </c>
      <c r="H32" s="201">
        <v>6.2655228713737854</v>
      </c>
      <c r="I32" s="200">
        <v>7.7996445310020546</v>
      </c>
      <c r="J32" s="197">
        <v>4.3129135249152734E-3</v>
      </c>
      <c r="K32" s="201">
        <v>4.9234742362041839</v>
      </c>
      <c r="L32" s="200">
        <v>6.9831974213678674</v>
      </c>
      <c r="M32" s="197">
        <v>2.3137280282529919E-2</v>
      </c>
      <c r="N32" s="201">
        <v>5.1276599599518891</v>
      </c>
    </row>
    <row r="33" spans="1:14" x14ac:dyDescent="0.2">
      <c r="A33" s="75">
        <v>23</v>
      </c>
      <c r="B33" s="113" t="s">
        <v>178</v>
      </c>
      <c r="C33" s="200">
        <v>31.308895088849564</v>
      </c>
      <c r="D33" s="197">
        <v>5.7702180420111713</v>
      </c>
      <c r="E33" s="201">
        <v>27.874142672199859</v>
      </c>
      <c r="F33" s="197">
        <v>26.000866132024814</v>
      </c>
      <c r="G33" s="197">
        <v>0.61442702681150141</v>
      </c>
      <c r="H33" s="201">
        <v>24.818105133984425</v>
      </c>
      <c r="I33" s="200">
        <v>80.212888028858146</v>
      </c>
      <c r="J33" s="197">
        <v>2.316475177930016E-2</v>
      </c>
      <c r="K33" s="201">
        <v>50.633857229244285</v>
      </c>
      <c r="L33" s="200">
        <v>42.016869037418374</v>
      </c>
      <c r="M33" s="197">
        <v>0.20751771577781475</v>
      </c>
      <c r="N33" s="201">
        <v>30.852373777442267</v>
      </c>
    </row>
    <row r="34" spans="1:14" x14ac:dyDescent="0.2">
      <c r="A34" s="75">
        <v>25</v>
      </c>
      <c r="B34" s="2" t="s">
        <v>581</v>
      </c>
      <c r="C34" s="200">
        <v>0.19904225661416883</v>
      </c>
      <c r="D34" s="197">
        <v>3.702631220983561</v>
      </c>
      <c r="E34" s="201">
        <v>0.17720626176411716</v>
      </c>
      <c r="F34" s="197">
        <v>0.46798977597583263</v>
      </c>
      <c r="G34" s="197">
        <v>5.2304637258257305</v>
      </c>
      <c r="H34" s="201">
        <v>0.44670125228991925</v>
      </c>
      <c r="I34" s="200">
        <v>1.4789490653225936</v>
      </c>
      <c r="J34" s="197">
        <v>11.481933588511422</v>
      </c>
      <c r="K34" s="201">
        <v>0.93357685607738239</v>
      </c>
      <c r="L34" s="200">
        <v>1.259339273854555</v>
      </c>
      <c r="M34" s="197">
        <v>5.004650938861281</v>
      </c>
      <c r="N34" s="201">
        <v>0.92471445111657768</v>
      </c>
    </row>
    <row r="35" spans="1:14" x14ac:dyDescent="0.2">
      <c r="A35" s="75">
        <v>27</v>
      </c>
      <c r="B35" s="2" t="s">
        <v>15</v>
      </c>
      <c r="C35" s="200">
        <v>0.52341225821666792</v>
      </c>
      <c r="D35" s="197">
        <v>2.747919851466218</v>
      </c>
      <c r="E35" s="201">
        <v>0.46599114789923457</v>
      </c>
      <c r="F35" s="197">
        <v>0.57658955832885206</v>
      </c>
      <c r="G35" s="197">
        <v>3.6325214825002026</v>
      </c>
      <c r="H35" s="201">
        <v>0.55036090740599941</v>
      </c>
      <c r="I35" s="200">
        <v>1.0695474475306546</v>
      </c>
      <c r="J35" s="197">
        <v>3.3690811978704818</v>
      </c>
      <c r="K35" s="201">
        <v>0.67514478145564816</v>
      </c>
      <c r="L35" s="200">
        <v>0.93889432961910413</v>
      </c>
      <c r="M35" s="197">
        <v>5.9150461066689095</v>
      </c>
      <c r="N35" s="201">
        <v>0.68941640485236644</v>
      </c>
    </row>
    <row r="36" spans="1:14" x14ac:dyDescent="0.2">
      <c r="A36" s="75">
        <v>28</v>
      </c>
      <c r="B36" s="113" t="s">
        <v>406</v>
      </c>
      <c r="C36" s="200">
        <v>8.5849197140891089E-3</v>
      </c>
      <c r="D36" s="197">
        <v>1.8028367456249934</v>
      </c>
      <c r="E36" s="201">
        <v>7.6431083326579941E-3</v>
      </c>
      <c r="F36" s="197">
        <v>5.1319092774273024E-2</v>
      </c>
      <c r="G36" s="197">
        <v>5.1805993743055643</v>
      </c>
      <c r="H36" s="201">
        <v>4.8984623565439034E-2</v>
      </c>
      <c r="I36" s="200">
        <v>0.17173338009204847</v>
      </c>
      <c r="J36" s="197">
        <v>8.8571950788488714</v>
      </c>
      <c r="K36" s="201">
        <v>0.10840556502526055</v>
      </c>
      <c r="L36" s="200">
        <v>3.0113692076266237E-2</v>
      </c>
      <c r="M36" s="197">
        <v>1.3554776493051248</v>
      </c>
      <c r="N36" s="201">
        <v>2.2112044639222658E-2</v>
      </c>
    </row>
    <row r="37" spans="1:14" x14ac:dyDescent="0.2">
      <c r="A37" s="75">
        <v>29</v>
      </c>
      <c r="B37" s="113" t="s">
        <v>407</v>
      </c>
      <c r="C37" s="200">
        <v>3.093790451769856</v>
      </c>
      <c r="D37" s="197">
        <v>0.29097481038306333</v>
      </c>
      <c r="E37" s="201">
        <v>2.7543851741109582</v>
      </c>
      <c r="F37" s="197">
        <v>4.6847489099054096</v>
      </c>
      <c r="G37" s="197">
        <v>5.0253334648713503E-2</v>
      </c>
      <c r="H37" s="201">
        <v>4.4716429976595222</v>
      </c>
      <c r="I37" s="200">
        <v>5.102402392840597</v>
      </c>
      <c r="J37" s="197">
        <v>3.5655237726852072E-3</v>
      </c>
      <c r="K37" s="201">
        <v>3.2208579024395334</v>
      </c>
      <c r="L37" s="200">
        <v>4.7112835381149356</v>
      </c>
      <c r="M37" s="197">
        <v>2.4518385631151451E-2</v>
      </c>
      <c r="N37" s="201">
        <v>3.4594267497653512</v>
      </c>
    </row>
    <row r="38" spans="1:14" x14ac:dyDescent="0.2">
      <c r="A38" s="75">
        <v>30</v>
      </c>
      <c r="B38" s="113" t="s">
        <v>619</v>
      </c>
      <c r="C38" s="200">
        <v>2.0486820278287645</v>
      </c>
      <c r="D38" s="197">
        <v>9.3332398277586437E-2</v>
      </c>
      <c r="E38" s="201">
        <v>1.8239307063253194</v>
      </c>
      <c r="F38" s="197">
        <v>2.6163422092541415</v>
      </c>
      <c r="G38" s="197">
        <v>1.3482905580088144E-2</v>
      </c>
      <c r="H38" s="201">
        <v>2.4973266538907311</v>
      </c>
      <c r="I38" s="200">
        <v>1.1643933239400681</v>
      </c>
      <c r="J38" s="197">
        <v>6.7833730833744552E-4</v>
      </c>
      <c r="K38" s="201">
        <v>0.73501561621687794</v>
      </c>
      <c r="L38" s="200">
        <v>1.0779403105492313</v>
      </c>
      <c r="M38" s="197">
        <v>5.7278974288096311E-3</v>
      </c>
      <c r="N38" s="201">
        <v>0.79151583953625493</v>
      </c>
    </row>
    <row r="39" spans="1:14" x14ac:dyDescent="0.2">
      <c r="A39" s="75">
        <v>31</v>
      </c>
      <c r="B39" s="113" t="s">
        <v>62</v>
      </c>
      <c r="C39" s="200">
        <v>0.38874531967106546</v>
      </c>
      <c r="D39" s="197">
        <v>1.4924856148026946</v>
      </c>
      <c r="E39" s="201">
        <v>0.3460978892072229</v>
      </c>
      <c r="F39" s="197">
        <v>0.38099588603347695</v>
      </c>
      <c r="G39" s="197">
        <v>0.83857493614867218</v>
      </c>
      <c r="H39" s="201">
        <v>0.36366465283047189</v>
      </c>
      <c r="I39" s="200">
        <v>0.16654024704428694</v>
      </c>
      <c r="J39" s="197">
        <v>0.88344926165737081</v>
      </c>
      <c r="K39" s="201">
        <v>0.10512743399451863</v>
      </c>
      <c r="L39" s="200">
        <v>0.34152571598409165</v>
      </c>
      <c r="M39" s="197">
        <v>3.8938434067644582E-3</v>
      </c>
      <c r="N39" s="201">
        <v>0.25077734932524609</v>
      </c>
    </row>
    <row r="40" spans="1:14" x14ac:dyDescent="0.2">
      <c r="A40" s="75">
        <v>32</v>
      </c>
      <c r="B40" s="113" t="s">
        <v>181</v>
      </c>
      <c r="C40" s="200">
        <v>0.74209293859834713</v>
      </c>
      <c r="D40" s="197">
        <v>2.8378210272298317E-2</v>
      </c>
      <c r="E40" s="201">
        <v>0.66068139382821156</v>
      </c>
      <c r="F40" s="197">
        <v>0.97438458511087356</v>
      </c>
      <c r="G40" s="197">
        <v>7.7508079321376554E-3</v>
      </c>
      <c r="H40" s="201">
        <v>0.93006051996208083</v>
      </c>
      <c r="I40" s="200">
        <v>0.72275730780627345</v>
      </c>
      <c r="J40" s="197">
        <v>4.2110173431111686E-4</v>
      </c>
      <c r="K40" s="201">
        <v>0.45623578996045749</v>
      </c>
      <c r="L40" s="200">
        <v>1.0426861098607034</v>
      </c>
      <c r="M40" s="197">
        <v>4.0597192227883481</v>
      </c>
      <c r="N40" s="201">
        <v>0.76562919443904909</v>
      </c>
    </row>
    <row r="41" spans="1:14" x14ac:dyDescent="0.2">
      <c r="A41" s="75">
        <v>33</v>
      </c>
      <c r="B41" s="113" t="s">
        <v>566</v>
      </c>
      <c r="C41" s="200">
        <v>1.1463741466422032E-2</v>
      </c>
      <c r="D41" s="197">
        <v>2.4073905227200427</v>
      </c>
      <c r="E41" s="201">
        <v>1.0206108017719984E-2</v>
      </c>
      <c r="F41" s="197">
        <v>1.1463741466422032E-2</v>
      </c>
      <c r="G41" s="197">
        <v>2.4073905227200427</v>
      </c>
      <c r="H41" s="201">
        <v>1.0942263980662352E-2</v>
      </c>
      <c r="I41" s="200">
        <v>3.4613275394135577E-2</v>
      </c>
      <c r="J41" s="197">
        <v>4.3853322386595659</v>
      </c>
      <c r="K41" s="201">
        <v>2.1849402104966498E-2</v>
      </c>
      <c r="L41" s="200">
        <v>0.13346631584597313</v>
      </c>
      <c r="M41" s="197">
        <v>5.1860783029655977</v>
      </c>
      <c r="N41" s="201">
        <v>9.8002368037252832E-2</v>
      </c>
    </row>
    <row r="42" spans="1:14" x14ac:dyDescent="0.2">
      <c r="A42" s="75">
        <v>34</v>
      </c>
      <c r="B42" s="113" t="s">
        <v>567</v>
      </c>
      <c r="C42" s="200">
        <v>0.14519533614290628</v>
      </c>
      <c r="D42" s="197">
        <v>0.60447642199413365</v>
      </c>
      <c r="E42" s="201">
        <v>0.12926663504093971</v>
      </c>
      <c r="F42" s="197">
        <v>0.44494224683211936</v>
      </c>
      <c r="G42" s="197">
        <v>1.5939558457486305E-2</v>
      </c>
      <c r="H42" s="201">
        <v>0.42470213893489417</v>
      </c>
      <c r="I42" s="200">
        <v>0.98626052826993993</v>
      </c>
      <c r="J42" s="197">
        <v>4.675520895355656</v>
      </c>
      <c r="K42" s="201">
        <v>0.62257046225904444</v>
      </c>
      <c r="L42" s="200">
        <v>1.0183949726298229</v>
      </c>
      <c r="M42" s="197">
        <v>2.3522875387932025</v>
      </c>
      <c r="N42" s="201">
        <v>0.74779256685361783</v>
      </c>
    </row>
    <row r="43" spans="1:14" x14ac:dyDescent="0.2">
      <c r="A43" s="75">
        <v>35</v>
      </c>
      <c r="B43" s="113" t="s">
        <v>568</v>
      </c>
      <c r="C43" s="200">
        <v>0.11589807364564522</v>
      </c>
      <c r="D43" s="197">
        <v>6.4793432217717809E-3</v>
      </c>
      <c r="E43" s="201">
        <v>0.10318343815915694</v>
      </c>
      <c r="F43" s="197">
        <v>0.26806695983144119</v>
      </c>
      <c r="G43" s="197">
        <v>1.2530404264902613E-3</v>
      </c>
      <c r="H43" s="201">
        <v>0.25587278355508353</v>
      </c>
      <c r="I43" s="200">
        <v>0.5363515441012654</v>
      </c>
      <c r="J43" s="197">
        <v>1.9193139073940766E-4</v>
      </c>
      <c r="K43" s="201">
        <v>0.33856837942224122</v>
      </c>
      <c r="L43" s="200">
        <v>9.5746104796782791E-2</v>
      </c>
      <c r="M43" s="197">
        <v>1.3163202047162265E-4</v>
      </c>
      <c r="N43" s="201">
        <v>7.0304967518969655E-2</v>
      </c>
    </row>
    <row r="44" spans="1:14" x14ac:dyDescent="0.2">
      <c r="A44" s="75">
        <v>36</v>
      </c>
      <c r="B44" s="113" t="s">
        <v>630</v>
      </c>
      <c r="C44" s="200">
        <v>2.4944076067873659</v>
      </c>
      <c r="D44" s="197">
        <v>7.5196653120360349E-2</v>
      </c>
      <c r="E44" s="201">
        <v>2.2207578171282725</v>
      </c>
      <c r="F44" s="197">
        <v>2.5141227807212085</v>
      </c>
      <c r="G44" s="197">
        <v>7.8078205709774849E-3</v>
      </c>
      <c r="H44" s="201">
        <v>2.3997571148152042</v>
      </c>
      <c r="I44" s="200">
        <v>3.5259636562200174</v>
      </c>
      <c r="J44" s="197">
        <v>1.4124054537464324E-3</v>
      </c>
      <c r="K44" s="201">
        <v>2.2257413334914182</v>
      </c>
      <c r="L44" s="200">
        <v>3.4316995763766189</v>
      </c>
      <c r="M44" s="197">
        <v>2.7547902240266917E-3</v>
      </c>
      <c r="N44" s="201">
        <v>2.519846919768657</v>
      </c>
    </row>
    <row r="45" spans="1:14" x14ac:dyDescent="0.2">
      <c r="A45" s="75">
        <v>37</v>
      </c>
      <c r="B45" s="113" t="s">
        <v>631</v>
      </c>
      <c r="C45" s="200">
        <v>0.29312184441937283</v>
      </c>
      <c r="D45" s="197">
        <v>4.5574572703672853</v>
      </c>
      <c r="E45" s="201">
        <v>0.2609648180971369</v>
      </c>
      <c r="F45" s="197">
        <v>0.48952186495492123</v>
      </c>
      <c r="G45" s="197">
        <v>0.10187673002949249</v>
      </c>
      <c r="H45" s="201">
        <v>0.46725386178084438</v>
      </c>
      <c r="I45" s="200">
        <v>0.50682070065749496</v>
      </c>
      <c r="J45" s="197">
        <v>2.6343369786700565E-4</v>
      </c>
      <c r="K45" s="201">
        <v>0.31992722900944109</v>
      </c>
      <c r="L45" s="200">
        <v>0.96275571173796537</v>
      </c>
      <c r="M45" s="197">
        <v>4.7919760239625419E-3</v>
      </c>
      <c r="N45" s="201">
        <v>0.70693746953050496</v>
      </c>
    </row>
    <row r="46" spans="1:14" x14ac:dyDescent="0.2">
      <c r="A46" s="75">
        <v>38</v>
      </c>
      <c r="B46" s="113" t="s">
        <v>348</v>
      </c>
      <c r="C46" s="200">
        <v>2.221183763859472</v>
      </c>
      <c r="D46" s="197">
        <v>5.8064907670227406</v>
      </c>
      <c r="E46" s="201">
        <v>1.9775080838621764</v>
      </c>
      <c r="F46" s="197">
        <v>2.0725353692949784</v>
      </c>
      <c r="G46" s="197">
        <v>8.1001224044572666</v>
      </c>
      <c r="H46" s="201">
        <v>1.9782572021979949</v>
      </c>
      <c r="I46" s="200">
        <v>1.5317417185539226</v>
      </c>
      <c r="J46" s="197">
        <v>1.1440290868937101E-3</v>
      </c>
      <c r="K46" s="201">
        <v>0.96690187069980083</v>
      </c>
      <c r="L46" s="200">
        <v>1.8310653028160586</v>
      </c>
      <c r="M46" s="197">
        <v>6.642082004901571</v>
      </c>
      <c r="N46" s="201">
        <v>1.3445245309229641</v>
      </c>
    </row>
    <row r="47" spans="1:14" x14ac:dyDescent="0.2">
      <c r="A47" s="75">
        <v>39</v>
      </c>
      <c r="B47" s="2" t="s">
        <v>582</v>
      </c>
      <c r="C47" s="200">
        <v>6.4074227366794068</v>
      </c>
      <c r="D47" s="197">
        <v>0.50644953960249062</v>
      </c>
      <c r="E47" s="201">
        <v>5.7044943622717197</v>
      </c>
      <c r="F47" s="197">
        <v>9.337256149613653</v>
      </c>
      <c r="G47" s="197">
        <v>8.5324972512728733E-2</v>
      </c>
      <c r="H47" s="201">
        <v>8.9125109758798668</v>
      </c>
      <c r="I47" s="200">
        <v>8.1602521259641563</v>
      </c>
      <c r="J47" s="197">
        <v>8.4692214678118334E-3</v>
      </c>
      <c r="K47" s="201">
        <v>5.151105405306625</v>
      </c>
      <c r="L47" s="200">
        <v>9.437701839615217</v>
      </c>
      <c r="M47" s="197">
        <v>2.7087225698152861E-2</v>
      </c>
      <c r="N47" s="201">
        <v>6.9299667354213161</v>
      </c>
    </row>
    <row r="48" spans="1:14" x14ac:dyDescent="0.2">
      <c r="A48" s="75">
        <v>40</v>
      </c>
      <c r="B48" s="113" t="s">
        <v>349</v>
      </c>
      <c r="C48" s="200">
        <v>1.1141725134140952</v>
      </c>
      <c r="D48" s="197">
        <v>9.7907889160105371E-2</v>
      </c>
      <c r="E48" s="201">
        <v>0.99194185908555377</v>
      </c>
      <c r="F48" s="197">
        <v>2.1649004551246964</v>
      </c>
      <c r="G48" s="197">
        <v>4.0579798487051469E-2</v>
      </c>
      <c r="H48" s="201">
        <v>2.0664206656453921</v>
      </c>
      <c r="I48" s="200">
        <v>2.2249005638459023</v>
      </c>
      <c r="J48" s="197">
        <v>1.0754920321662387</v>
      </c>
      <c r="K48" s="201">
        <v>1.4044538261545776</v>
      </c>
      <c r="L48" s="200">
        <v>2.3730483281653769</v>
      </c>
      <c r="M48" s="197">
        <v>1.6445697406355809E-2</v>
      </c>
      <c r="N48" s="201">
        <v>1.7424947572198055</v>
      </c>
    </row>
    <row r="49" spans="1:14" x14ac:dyDescent="0.2">
      <c r="A49" s="75">
        <v>41</v>
      </c>
      <c r="B49" s="113" t="s">
        <v>350</v>
      </c>
      <c r="C49" s="200">
        <v>2.3404240734990078</v>
      </c>
      <c r="D49" s="197">
        <v>0.65574602988933184</v>
      </c>
      <c r="E49" s="201">
        <v>2.0836670969393714</v>
      </c>
      <c r="F49" s="197">
        <v>3.0072958912115357</v>
      </c>
      <c r="G49" s="197">
        <v>0.1648448131289332</v>
      </c>
      <c r="H49" s="201">
        <v>2.870496129556245</v>
      </c>
      <c r="I49" s="200">
        <v>3.9383431403647604</v>
      </c>
      <c r="J49" s="197">
        <v>2.1782065847389736E-3</v>
      </c>
      <c r="K49" s="201">
        <v>2.48605316663402</v>
      </c>
      <c r="L49" s="200">
        <v>3.8436718326099717</v>
      </c>
      <c r="M49" s="197">
        <v>6.442965552997483E-2</v>
      </c>
      <c r="N49" s="201">
        <v>2.822352135564921</v>
      </c>
    </row>
    <row r="50" spans="1:14" x14ac:dyDescent="0.2">
      <c r="A50" s="75">
        <v>42</v>
      </c>
      <c r="B50" s="2" t="s">
        <v>583</v>
      </c>
      <c r="C50" s="200">
        <v>1.294666549395908</v>
      </c>
      <c r="D50" s="197">
        <v>0.4931125856381246</v>
      </c>
      <c r="E50" s="201">
        <v>1.1526347387339966</v>
      </c>
      <c r="F50" s="197">
        <v>1.5127238350353922</v>
      </c>
      <c r="G50" s="197">
        <v>8.2920308733075029E-2</v>
      </c>
      <c r="H50" s="201">
        <v>1.4439110984211212</v>
      </c>
      <c r="I50" s="200">
        <v>1.696476736506914</v>
      </c>
      <c r="J50" s="197">
        <v>3.9145914346342949</v>
      </c>
      <c r="K50" s="201">
        <v>1.0708897657209584</v>
      </c>
      <c r="L50" s="200">
        <v>1.1451981545791592</v>
      </c>
      <c r="M50" s="197">
        <v>1.7514995862849977E-2</v>
      </c>
      <c r="N50" s="201">
        <v>0.84090229290640706</v>
      </c>
    </row>
    <row r="51" spans="1:14" x14ac:dyDescent="0.2">
      <c r="A51" s="75">
        <v>43</v>
      </c>
      <c r="B51" s="113" t="s">
        <v>351</v>
      </c>
      <c r="C51" s="200">
        <v>3.1522270821146807</v>
      </c>
      <c r="D51" s="197">
        <v>4.6895498227250485</v>
      </c>
      <c r="E51" s="201">
        <v>2.8064109951082106</v>
      </c>
      <c r="F51" s="197">
        <v>2.4457124635386722</v>
      </c>
      <c r="G51" s="197">
        <v>4.4044583948008933</v>
      </c>
      <c r="H51" s="201">
        <v>2.3344587345433934</v>
      </c>
      <c r="I51" s="200">
        <v>0.97846565787181572</v>
      </c>
      <c r="J51" s="197">
        <v>4.4075508330514213</v>
      </c>
      <c r="K51" s="201">
        <v>0.61765000166277362</v>
      </c>
      <c r="L51" s="200">
        <v>1.7767681263984167</v>
      </c>
      <c r="M51" s="197">
        <v>1.2486853246477518</v>
      </c>
      <c r="N51" s="201">
        <v>1.3046549066440833</v>
      </c>
    </row>
    <row r="52" spans="1:14" x14ac:dyDescent="0.2">
      <c r="A52" s="75">
        <v>44</v>
      </c>
      <c r="B52" s="2" t="s">
        <v>584</v>
      </c>
      <c r="C52" s="200">
        <v>2.1468010983967547</v>
      </c>
      <c r="D52" s="197">
        <v>9.3421326737625314</v>
      </c>
      <c r="E52" s="201">
        <v>1.9112855926639896</v>
      </c>
      <c r="F52" s="197">
        <v>2.2116924048607509</v>
      </c>
      <c r="G52" s="197">
        <v>15.047133128044001</v>
      </c>
      <c r="H52" s="201">
        <v>2.1110840827053021</v>
      </c>
      <c r="I52" s="200">
        <v>2.7266016302529454</v>
      </c>
      <c r="J52" s="197">
        <v>17.208561738791698</v>
      </c>
      <c r="K52" s="201">
        <v>1.7211493197649632</v>
      </c>
      <c r="L52" s="200">
        <v>3.3381409214131632</v>
      </c>
      <c r="M52" s="197">
        <v>19.268161152824224</v>
      </c>
      <c r="N52" s="201">
        <v>2.4511481647406064</v>
      </c>
    </row>
    <row r="53" spans="1:14" x14ac:dyDescent="0.2">
      <c r="A53" s="75">
        <v>45</v>
      </c>
      <c r="B53" s="2" t="s">
        <v>230</v>
      </c>
      <c r="C53" s="200">
        <v>1.4392697273494377</v>
      </c>
      <c r="D53" s="197">
        <v>0.14290205406870785</v>
      </c>
      <c r="E53" s="201">
        <v>1.28137417849039</v>
      </c>
      <c r="F53" s="197">
        <v>1.7631621615308928</v>
      </c>
      <c r="G53" s="197">
        <v>3.4299111019859677E-2</v>
      </c>
      <c r="H53" s="201">
        <v>1.6829571626939202</v>
      </c>
      <c r="I53" s="200">
        <v>2.3450305079220475</v>
      </c>
      <c r="J53" s="197">
        <v>2.9835332220121442</v>
      </c>
      <c r="K53" s="201">
        <v>1.480285062091629</v>
      </c>
      <c r="L53" s="200">
        <v>2.9739100269110676</v>
      </c>
      <c r="M53" s="197">
        <v>1.9576040939382391E-2</v>
      </c>
      <c r="N53" s="201">
        <v>2.1836987341687264</v>
      </c>
    </row>
    <row r="54" spans="1:14" x14ac:dyDescent="0.2">
      <c r="A54" s="75">
        <v>46</v>
      </c>
      <c r="B54" s="113" t="s">
        <v>352</v>
      </c>
      <c r="C54" s="200">
        <v>0.20789067571652323</v>
      </c>
      <c r="D54" s="197">
        <v>0.10633599505617691</v>
      </c>
      <c r="E54" s="201">
        <v>0.18508396219980852</v>
      </c>
      <c r="F54" s="197">
        <v>0.20817040544453291</v>
      </c>
      <c r="G54" s="197">
        <v>1.023036608303441</v>
      </c>
      <c r="H54" s="201">
        <v>0.1987008810350061</v>
      </c>
      <c r="I54" s="200">
        <v>0.74191396311018265</v>
      </c>
      <c r="J54" s="197">
        <v>2.715850408269882</v>
      </c>
      <c r="K54" s="201">
        <v>0.46832830244173124</v>
      </c>
      <c r="L54" s="200">
        <v>0.48545667043463053</v>
      </c>
      <c r="M54" s="197">
        <v>3.7896563057603396</v>
      </c>
      <c r="N54" s="201">
        <v>0.35646374877822368</v>
      </c>
    </row>
    <row r="55" spans="1:14" x14ac:dyDescent="0.2">
      <c r="A55" s="75">
        <v>47</v>
      </c>
      <c r="B55" s="2" t="s">
        <v>176</v>
      </c>
      <c r="C55" s="200">
        <v>0.13998766241259961</v>
      </c>
      <c r="D55" s="197">
        <v>3.2760446916348926E-2</v>
      </c>
      <c r="E55" s="201">
        <v>0.12463027083399801</v>
      </c>
      <c r="F55" s="197">
        <v>0.21252413579674484</v>
      </c>
      <c r="G55" s="197">
        <v>1.9914508279457E-2</v>
      </c>
      <c r="H55" s="201">
        <v>0.20285656327488077</v>
      </c>
      <c r="I55" s="200">
        <v>0.31722263101012316</v>
      </c>
      <c r="J55" s="197">
        <v>0.55361776883021074</v>
      </c>
      <c r="K55" s="201">
        <v>0.20024469637189882</v>
      </c>
      <c r="L55" s="200">
        <v>0.49560757355762169</v>
      </c>
      <c r="M55" s="197">
        <v>3.017617735108125</v>
      </c>
      <c r="N55" s="201">
        <v>0.36391740880820417</v>
      </c>
    </row>
    <row r="56" spans="1:14" x14ac:dyDescent="0.2">
      <c r="A56" s="75">
        <v>48</v>
      </c>
      <c r="B56" s="2" t="s">
        <v>448</v>
      </c>
      <c r="C56" s="200">
        <v>2.5818297934447267E-2</v>
      </c>
      <c r="D56" s="197">
        <v>2.1410530593021348E-3</v>
      </c>
      <c r="E56" s="201">
        <v>2.2985893246499422E-2</v>
      </c>
      <c r="F56" s="197">
        <v>6.3282193860199065E-2</v>
      </c>
      <c r="G56" s="197">
        <v>6.7541461613270003E-4</v>
      </c>
      <c r="H56" s="201">
        <v>6.0403531649939626E-2</v>
      </c>
      <c r="I56" s="200">
        <v>0.10260318459832654</v>
      </c>
      <c r="J56" s="197">
        <v>1.0773355929493058</v>
      </c>
      <c r="K56" s="201">
        <v>6.4767584460347444E-2</v>
      </c>
      <c r="L56" s="200">
        <v>4.9768217156127184E-2</v>
      </c>
      <c r="M56" s="197">
        <v>1.434187450663007E-4</v>
      </c>
      <c r="N56" s="201">
        <v>3.6544075584745046E-2</v>
      </c>
    </row>
    <row r="57" spans="1:14" x14ac:dyDescent="0.2">
      <c r="A57" s="75">
        <v>49</v>
      </c>
      <c r="B57" s="113" t="s">
        <v>188</v>
      </c>
      <c r="C57" s="200">
        <v>0.12423476841232731</v>
      </c>
      <c r="D57" s="197">
        <v>5.6962455003899697</v>
      </c>
      <c r="E57" s="201">
        <v>0.11060555314218738</v>
      </c>
      <c r="F57" s="197">
        <v>0.17985231967243115</v>
      </c>
      <c r="G57" s="197">
        <v>14.937772153868083</v>
      </c>
      <c r="H57" s="201">
        <v>0.17167096494234246</v>
      </c>
      <c r="I57" s="200">
        <v>0.5058927128920222</v>
      </c>
      <c r="J57" s="197">
        <v>5.3118841091132047</v>
      </c>
      <c r="K57" s="201">
        <v>0.31934144284487204</v>
      </c>
      <c r="L57" s="200">
        <v>0.4358397561616269</v>
      </c>
      <c r="M57" s="197">
        <v>4.5763265923319629</v>
      </c>
      <c r="N57" s="201">
        <v>0.32003077269257685</v>
      </c>
    </row>
    <row r="58" spans="1:14" x14ac:dyDescent="0.2">
      <c r="A58" s="75">
        <v>50</v>
      </c>
      <c r="B58" s="113" t="s">
        <v>189</v>
      </c>
      <c r="C58" s="200">
        <v>0.32056757930999358</v>
      </c>
      <c r="D58" s="197">
        <v>1.3054884054127898</v>
      </c>
      <c r="E58" s="201">
        <v>0.285399609804526</v>
      </c>
      <c r="F58" s="197">
        <v>0.27336423594522508</v>
      </c>
      <c r="G58" s="197">
        <v>6.9399546740565885</v>
      </c>
      <c r="H58" s="201">
        <v>0.26092909032763778</v>
      </c>
      <c r="I58" s="200">
        <v>0.38201969384481116</v>
      </c>
      <c r="J58" s="197">
        <v>1.4846913068597885</v>
      </c>
      <c r="K58" s="201">
        <v>0.24114741548688179</v>
      </c>
      <c r="L58" s="200">
        <v>0.32567877617700092</v>
      </c>
      <c r="M58" s="197">
        <v>3.3774040950258821</v>
      </c>
      <c r="N58" s="201">
        <v>0.2391411726810134</v>
      </c>
    </row>
    <row r="59" spans="1:14" x14ac:dyDescent="0.2">
      <c r="A59" s="75">
        <v>51</v>
      </c>
      <c r="B59" s="2" t="s">
        <v>155</v>
      </c>
      <c r="C59" s="200">
        <v>0.47198997348929916</v>
      </c>
      <c r="D59" s="197">
        <v>7.6912414912193833E-2</v>
      </c>
      <c r="E59" s="201">
        <v>0.42021016147497586</v>
      </c>
      <c r="F59" s="197">
        <v>0.69635629025140844</v>
      </c>
      <c r="G59" s="197">
        <v>2.2756490103807862E-2</v>
      </c>
      <c r="H59" s="201">
        <v>0.66467953545918956</v>
      </c>
      <c r="I59" s="200">
        <v>0.95736228472514195</v>
      </c>
      <c r="J59" s="197">
        <v>5.4067573728193853E-4</v>
      </c>
      <c r="K59" s="201">
        <v>0.6043286363657191</v>
      </c>
      <c r="L59" s="200">
        <v>1.1621362018271075</v>
      </c>
      <c r="M59" s="197">
        <v>9.6066399333880025E-3</v>
      </c>
      <c r="N59" s="201">
        <v>0.85333965382181209</v>
      </c>
    </row>
    <row r="60" spans="1:14" x14ac:dyDescent="0.2">
      <c r="A60" s="75">
        <v>52</v>
      </c>
      <c r="B60" s="2" t="s">
        <v>48</v>
      </c>
      <c r="C60" s="200">
        <v>7.6407980733547959E-2</v>
      </c>
      <c r="D60" s="197">
        <v>1.0121016037795217E-2</v>
      </c>
      <c r="E60" s="201">
        <v>6.8025618605114219E-2</v>
      </c>
      <c r="F60" s="197">
        <v>3.0189379310608454E-2</v>
      </c>
      <c r="G60" s="197">
        <v>0.63397823347670867</v>
      </c>
      <c r="H60" s="201">
        <v>2.8816085812525493E-2</v>
      </c>
      <c r="I60" s="200">
        <v>0.24553338023063889</v>
      </c>
      <c r="J60" s="197">
        <v>2.5781056486226936</v>
      </c>
      <c r="K60" s="201">
        <v>0.15499132901360141</v>
      </c>
      <c r="L60" s="200">
        <v>0.12379641030138817</v>
      </c>
      <c r="M60" s="197">
        <v>4.5495271776121724</v>
      </c>
      <c r="N60" s="201">
        <v>9.0901897509846133E-2</v>
      </c>
    </row>
    <row r="61" spans="1:14" x14ac:dyDescent="0.2">
      <c r="A61" s="75">
        <v>53</v>
      </c>
      <c r="B61" s="113" t="s">
        <v>190</v>
      </c>
      <c r="C61" s="200">
        <v>0.73679568520142458</v>
      </c>
      <c r="D61" s="197">
        <v>7.4868018580295903</v>
      </c>
      <c r="E61" s="201">
        <v>0.65596527732082321</v>
      </c>
      <c r="F61" s="197">
        <v>2.2277855660562658</v>
      </c>
      <c r="G61" s="197">
        <v>0.36076144106766989</v>
      </c>
      <c r="H61" s="201">
        <v>2.1264451773880868</v>
      </c>
      <c r="I61" s="200">
        <v>3.7605022513396773</v>
      </c>
      <c r="J61" s="197">
        <v>2.8613054902026889</v>
      </c>
      <c r="K61" s="201">
        <v>2.373792276823167</v>
      </c>
      <c r="L61" s="200">
        <v>1.8987687272327001</v>
      </c>
      <c r="M61" s="197">
        <v>0.13349205442951095</v>
      </c>
      <c r="N61" s="201">
        <v>1.394238167468677</v>
      </c>
    </row>
    <row r="62" spans="1:14" x14ac:dyDescent="0.2">
      <c r="A62" s="75">
        <v>54</v>
      </c>
      <c r="B62" s="113" t="s">
        <v>191</v>
      </c>
      <c r="C62" s="200">
        <v>0.36508378001154246</v>
      </c>
      <c r="D62" s="197">
        <v>7.6758702597873471E-2</v>
      </c>
      <c r="E62" s="201">
        <v>0.32503214637465799</v>
      </c>
      <c r="F62" s="197">
        <v>0.2584893892246154</v>
      </c>
      <c r="G62" s="197">
        <v>2.870761895918597</v>
      </c>
      <c r="H62" s="201">
        <v>0.24673088985656577</v>
      </c>
      <c r="I62" s="200">
        <v>1.8451624306487864</v>
      </c>
      <c r="J62" s="197">
        <v>2.7908329932998148E-3</v>
      </c>
      <c r="K62" s="201">
        <v>1.1647466307985768</v>
      </c>
      <c r="L62" s="200">
        <v>1.0979127437333369</v>
      </c>
      <c r="M62" s="197">
        <v>9.4691897280144044E-2</v>
      </c>
      <c r="N62" s="201">
        <v>0.8061813057634567</v>
      </c>
    </row>
    <row r="63" spans="1:14" x14ac:dyDescent="0.2">
      <c r="A63" s="75">
        <v>55</v>
      </c>
      <c r="B63" s="2" t="s">
        <v>422</v>
      </c>
      <c r="C63" s="200">
        <v>8.1727670203806072E-2</v>
      </c>
      <c r="D63" s="197">
        <v>8.3744362709016723E-2</v>
      </c>
      <c r="E63" s="201">
        <v>7.276170982918885E-2</v>
      </c>
      <c r="F63" s="197">
        <v>0.34128254577943395</v>
      </c>
      <c r="G63" s="197">
        <v>7.1669477952350364</v>
      </c>
      <c r="H63" s="201">
        <v>0.32575784431717486</v>
      </c>
      <c r="I63" s="200">
        <v>0.59515396182332614</v>
      </c>
      <c r="J63" s="197">
        <v>6.2491290973781233</v>
      </c>
      <c r="K63" s="201">
        <v>0.37568701829486267</v>
      </c>
      <c r="L63" s="200">
        <v>0.31471643111775094</v>
      </c>
      <c r="M63" s="197">
        <v>4.6681282153038755</v>
      </c>
      <c r="N63" s="201">
        <v>0.2310916826786984</v>
      </c>
    </row>
    <row r="64" spans="1:14" x14ac:dyDescent="0.2">
      <c r="A64" s="75">
        <v>56</v>
      </c>
      <c r="B64" s="113" t="s">
        <v>192</v>
      </c>
      <c r="C64" s="200">
        <v>0.1134981375458117</v>
      </c>
      <c r="D64" s="197">
        <v>4.1710648969216901</v>
      </c>
      <c r="E64" s="201">
        <v>0.10104678782189394</v>
      </c>
      <c r="F64" s="197">
        <v>0.14568649131733763</v>
      </c>
      <c r="G64" s="197">
        <v>3.059422436496726</v>
      </c>
      <c r="H64" s="201">
        <v>0.1390593159380043</v>
      </c>
      <c r="I64" s="200">
        <v>0.36357044490296198</v>
      </c>
      <c r="J64" s="197">
        <v>3.9919440484004594E-4</v>
      </c>
      <c r="K64" s="201">
        <v>0.22950144861217833</v>
      </c>
      <c r="L64" s="200">
        <v>0.70494563378987574</v>
      </c>
      <c r="M64" s="197">
        <v>1.625975250461356</v>
      </c>
      <c r="N64" s="201">
        <v>0.51763129154369547</v>
      </c>
    </row>
    <row r="65" spans="1:14" x14ac:dyDescent="0.2">
      <c r="A65" s="75">
        <v>57</v>
      </c>
      <c r="B65" s="2" t="s">
        <v>49</v>
      </c>
      <c r="C65" s="200">
        <v>0.72435467448738089</v>
      </c>
      <c r="D65" s="197">
        <v>2.0053222349074264</v>
      </c>
      <c r="E65" s="201">
        <v>0.64488911169295582</v>
      </c>
      <c r="F65" s="197">
        <v>0.93369093986464879</v>
      </c>
      <c r="G65" s="197">
        <v>3.2371400544329445</v>
      </c>
      <c r="H65" s="201">
        <v>0.89121799983687822</v>
      </c>
      <c r="I65" s="200">
        <v>2.4973900362668591</v>
      </c>
      <c r="J65" s="197">
        <v>10.072720433973593</v>
      </c>
      <c r="K65" s="201">
        <v>1.576461010811375</v>
      </c>
      <c r="L65" s="200">
        <v>1.888778520454216</v>
      </c>
      <c r="M65" s="197">
        <v>4.3004178463798182</v>
      </c>
      <c r="N65" s="201">
        <v>1.3869025044194088</v>
      </c>
    </row>
    <row r="66" spans="1:14" x14ac:dyDescent="0.2">
      <c r="A66" s="75">
        <v>58</v>
      </c>
      <c r="B66" s="2" t="s">
        <v>50</v>
      </c>
      <c r="C66" s="200">
        <v>0.13819806046232147</v>
      </c>
      <c r="D66" s="197">
        <v>9.1472623187162407E-3</v>
      </c>
      <c r="E66" s="201">
        <v>0.12303699774189628</v>
      </c>
      <c r="F66" s="197">
        <v>0.52797327543145578</v>
      </c>
      <c r="G66" s="197">
        <v>6.1768655382119413E-3</v>
      </c>
      <c r="H66" s="201">
        <v>0.50395614480907169</v>
      </c>
      <c r="I66" s="200">
        <v>2.6960720227316739</v>
      </c>
      <c r="J66" s="197">
        <v>0.28308756238682575</v>
      </c>
      <c r="K66" s="201">
        <v>1.7018777061068091</v>
      </c>
      <c r="L66" s="200">
        <v>5.1314183577083403</v>
      </c>
      <c r="M66" s="197">
        <v>0.53879892755937586</v>
      </c>
      <c r="N66" s="201">
        <v>3.7679256167197281</v>
      </c>
    </row>
    <row r="67" spans="1:14" x14ac:dyDescent="0.2">
      <c r="A67" s="75">
        <v>59</v>
      </c>
      <c r="B67" s="2" t="s">
        <v>51</v>
      </c>
      <c r="C67" s="200">
        <v>6.7503198142831549</v>
      </c>
      <c r="D67" s="197">
        <v>0.23977034548209325</v>
      </c>
      <c r="E67" s="201">
        <v>6.0097738055699681</v>
      </c>
      <c r="F67" s="197">
        <v>9.412096856787139</v>
      </c>
      <c r="G67" s="197">
        <v>3.3212191492784836E-2</v>
      </c>
      <c r="H67" s="201">
        <v>8.9839472322530955</v>
      </c>
      <c r="I67" s="200">
        <v>15.457925202679366</v>
      </c>
      <c r="J67" s="197">
        <v>4.5538219413559684E-3</v>
      </c>
      <c r="K67" s="201">
        <v>9.7577134673322643</v>
      </c>
      <c r="L67" s="200">
        <v>13.889841768576821</v>
      </c>
      <c r="M67" s="197">
        <v>1.1484007900472073E-2</v>
      </c>
      <c r="N67" s="201">
        <v>10.199108114696214</v>
      </c>
    </row>
    <row r="68" spans="1:14" x14ac:dyDescent="0.2">
      <c r="A68" s="75">
        <v>60</v>
      </c>
      <c r="B68" s="113" t="s">
        <v>193</v>
      </c>
      <c r="C68" s="200">
        <v>0.19226635848108437</v>
      </c>
      <c r="D68" s="197">
        <v>2.2291266959992562E-2</v>
      </c>
      <c r="E68" s="201">
        <v>0.17117371571744577</v>
      </c>
      <c r="F68" s="197">
        <v>0.41169206235642608</v>
      </c>
      <c r="G68" s="197">
        <v>6.4625531705831581E-3</v>
      </c>
      <c r="H68" s="201">
        <v>0.39296448181793603</v>
      </c>
      <c r="I68" s="200">
        <v>2.0349909037359701</v>
      </c>
      <c r="J68" s="197">
        <v>5.7342990131267345E-4</v>
      </c>
      <c r="K68" s="201">
        <v>1.2845746040898998</v>
      </c>
      <c r="L68" s="200">
        <v>2.3601752258022284</v>
      </c>
      <c r="M68" s="197">
        <v>8.481154725937497E-3</v>
      </c>
      <c r="N68" s="201">
        <v>1.7330422260131266</v>
      </c>
    </row>
    <row r="69" spans="1:14" ht="13.5" thickBot="1" x14ac:dyDescent="0.25">
      <c r="B69" s="2" t="s">
        <v>326</v>
      </c>
      <c r="C69" s="200">
        <v>3.0126294808963143</v>
      </c>
      <c r="D69" s="197">
        <v>0.12463571363753106</v>
      </c>
      <c r="E69" s="201">
        <v>2.6821279936795395</v>
      </c>
      <c r="F69" s="197">
        <v>5.2082719114295655</v>
      </c>
      <c r="G69" s="197">
        <v>1.948977490069783E-2</v>
      </c>
      <c r="H69" s="201">
        <v>4.9713513083716228</v>
      </c>
      <c r="I69" s="200">
        <v>2.4868479022944254</v>
      </c>
      <c r="J69" s="197">
        <v>9.1191464699540148E-4</v>
      </c>
      <c r="K69" s="201">
        <v>1.5698063581792479</v>
      </c>
      <c r="L69" s="200">
        <v>3.7665568134696104</v>
      </c>
      <c r="M69" s="197">
        <v>3.9656950984805371E-3</v>
      </c>
      <c r="N69" s="201">
        <v>2.7657277023580051</v>
      </c>
    </row>
    <row r="70" spans="1:14" ht="13.5" thickBot="1" x14ac:dyDescent="0.25">
      <c r="A70" s="319"/>
      <c r="B70" s="320" t="s">
        <v>500</v>
      </c>
      <c r="C70" s="321">
        <f t="shared" ref="C70:N70" si="0">SUM(C12:C69)</f>
        <v>108.53549258969151</v>
      </c>
      <c r="D70" s="322">
        <f t="shared" si="0"/>
        <v>96.628571428571519</v>
      </c>
      <c r="E70" s="323">
        <f t="shared" si="0"/>
        <v>96.628571428571533</v>
      </c>
      <c r="F70" s="322">
        <f t="shared" si="0"/>
        <v>119.88790150206472</v>
      </c>
      <c r="G70" s="322">
        <f t="shared" si="0"/>
        <v>114.43428571428529</v>
      </c>
      <c r="H70" s="323">
        <f t="shared" si="0"/>
        <v>114.43428571428528</v>
      </c>
      <c r="I70" s="322">
        <f t="shared" si="0"/>
        <v>207.08334890742455</v>
      </c>
      <c r="J70" s="322">
        <f t="shared" si="0"/>
        <v>130.71999999999974</v>
      </c>
      <c r="K70" s="323">
        <f t="shared" si="0"/>
        <v>130.71999999999971</v>
      </c>
      <c r="L70" s="322">
        <f t="shared" si="0"/>
        <v>161.16738264466727</v>
      </c>
      <c r="M70" s="322">
        <f t="shared" si="0"/>
        <v>118.34285714285706</v>
      </c>
      <c r="N70" s="323">
        <f t="shared" si="0"/>
        <v>118.34285714285707</v>
      </c>
    </row>
  </sheetData>
  <mergeCells count="4">
    <mergeCell ref="C9:E9"/>
    <mergeCell ref="F9:H9"/>
    <mergeCell ref="I9:K9"/>
    <mergeCell ref="L9:N9"/>
  </mergeCells>
  <pageMargins left="0.75" right="0.75" top="1" bottom="1" header="0.5" footer="0.5"/>
  <pageSetup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Q61"/>
  <sheetViews>
    <sheetView workbookViewId="0">
      <pane ySplit="2" topLeftCell="A3" activePane="bottomLeft" state="frozen"/>
      <selection activeCell="C5" sqref="C5"/>
      <selection pane="bottomLeft" activeCell="G4" sqref="G4"/>
    </sheetView>
  </sheetViews>
  <sheetFormatPr defaultColWidth="8.7109375" defaultRowHeight="12.75" x14ac:dyDescent="0.2"/>
  <cols>
    <col min="1" max="1" width="5.28515625" style="18" customWidth="1"/>
    <col min="2" max="2" width="27.28515625" style="18" customWidth="1"/>
    <col min="3" max="3" width="9.7109375" style="18" bestFit="1" customWidth="1"/>
    <col min="4" max="4" width="3.85546875" style="18" customWidth="1"/>
    <col min="5" max="5" width="5.28515625" style="18" customWidth="1"/>
    <col min="6" max="6" width="27.28515625" style="18" customWidth="1"/>
    <col min="7" max="7" width="9.7109375" style="18" customWidth="1"/>
    <col min="8" max="8" width="3.85546875" style="18" customWidth="1"/>
    <col min="9" max="9" width="5.28515625" style="18" customWidth="1"/>
    <col min="10" max="10" width="27.28515625" style="18" customWidth="1"/>
    <col min="11" max="11" width="12.28515625" style="18" hidden="1" customWidth="1"/>
    <col min="12" max="12" width="11.42578125" style="18" customWidth="1"/>
    <col min="13" max="13" width="3.85546875" style="18" customWidth="1"/>
    <col min="14" max="14" width="5.28515625" style="18" customWidth="1"/>
    <col min="15" max="15" width="27.28515625" style="18" customWidth="1"/>
    <col min="16" max="16" width="9.7109375" style="18" customWidth="1"/>
    <col min="17" max="17" width="3.85546875" style="18" customWidth="1"/>
    <col min="18" max="18" width="5.28515625" style="18" customWidth="1"/>
    <col min="19" max="19" width="27.28515625" style="18" customWidth="1"/>
    <col min="20" max="20" width="27.28515625" style="18" hidden="1" customWidth="1"/>
    <col min="21" max="21" width="9.7109375" style="18" customWidth="1"/>
    <col min="22" max="22" width="3.85546875" style="18" customWidth="1"/>
    <col min="23" max="23" width="5.28515625" style="18" customWidth="1"/>
    <col min="24" max="24" width="27.28515625" style="18" customWidth="1"/>
    <col min="25" max="25" width="11.85546875" style="18" customWidth="1"/>
    <col min="26" max="26" width="3.85546875" style="18" customWidth="1"/>
    <col min="27" max="27" width="5.28515625" style="18" customWidth="1"/>
    <col min="28" max="28" width="27.28515625" style="18" customWidth="1"/>
    <col min="29" max="29" width="14" style="18" hidden="1" customWidth="1"/>
    <col min="30" max="30" width="11.85546875" style="18" customWidth="1"/>
    <col min="31" max="31" width="3.85546875" style="18" customWidth="1"/>
    <col min="32" max="32" width="5.28515625" style="18" customWidth="1"/>
    <col min="33" max="33" width="27.28515625" style="18" customWidth="1"/>
    <col min="34" max="34" width="11.7109375" style="18" customWidth="1"/>
    <col min="35" max="35" width="3.85546875" style="18" customWidth="1"/>
    <col min="36" max="36" width="5.28515625" style="18" customWidth="1"/>
    <col min="37" max="37" width="27.28515625" style="18" customWidth="1"/>
    <col min="38" max="38" width="13.28515625" style="18" hidden="1" customWidth="1"/>
    <col min="39" max="39" width="11.42578125" style="18" customWidth="1"/>
    <col min="40" max="40" width="3.85546875" style="18" customWidth="1"/>
    <col min="41" max="41" width="5.28515625" style="18" customWidth="1"/>
    <col min="42" max="42" width="27.28515625" style="18" customWidth="1"/>
    <col min="43" max="43" width="9.7109375" style="18" customWidth="1"/>
    <col min="44" max="44" width="3.85546875" style="18" customWidth="1"/>
    <col min="45" max="45" width="5.28515625" style="18" customWidth="1"/>
    <col min="46" max="46" width="27.28515625" style="18" customWidth="1"/>
    <col min="47" max="47" width="11.42578125" style="18" hidden="1" customWidth="1"/>
    <col min="48" max="48" width="9.7109375" style="18" customWidth="1"/>
    <col min="49" max="49" width="3.85546875" style="18" customWidth="1"/>
    <col min="50" max="50" width="5.28515625" style="18" customWidth="1"/>
    <col min="51" max="51" width="27.28515625" style="18" customWidth="1"/>
    <col min="52" max="52" width="9.7109375" style="18" customWidth="1"/>
    <col min="53" max="53" width="3.85546875" style="18" customWidth="1"/>
    <col min="54" max="54" width="5.28515625" style="18" customWidth="1"/>
    <col min="55" max="55" width="27.28515625" style="18" customWidth="1"/>
    <col min="56" max="56" width="27.28515625" style="18" hidden="1" customWidth="1"/>
    <col min="57" max="57" width="9.7109375" style="18" customWidth="1"/>
    <col min="58" max="58" width="3.85546875" style="18" customWidth="1"/>
    <col min="59" max="59" width="5.28515625" style="18" customWidth="1"/>
    <col min="60" max="60" width="27.28515625" style="18" customWidth="1"/>
    <col min="61" max="61" width="12.42578125" style="18" customWidth="1"/>
    <col min="62" max="62" width="3.85546875" style="18" customWidth="1"/>
    <col min="63" max="63" width="5.28515625" style="18" customWidth="1"/>
    <col min="64" max="64" width="27.28515625" style="18" customWidth="1"/>
    <col min="65" max="65" width="27.28515625" style="18" hidden="1" customWidth="1"/>
    <col min="66" max="66" width="11.42578125" style="18" customWidth="1"/>
    <col min="67" max="67" width="3.85546875" style="18" customWidth="1"/>
    <col min="68" max="68" width="5.28515625" style="18" customWidth="1"/>
    <col min="69" max="69" width="27.28515625" style="18" customWidth="1"/>
    <col min="70" max="70" width="9.7109375" style="18" customWidth="1"/>
    <col min="71" max="71" width="3.85546875" style="18" customWidth="1"/>
    <col min="72" max="72" width="5.28515625" style="18" customWidth="1"/>
    <col min="73" max="73" width="27.28515625" style="18" customWidth="1"/>
    <col min="74" max="74" width="27.28515625" style="18" hidden="1" customWidth="1"/>
    <col min="75" max="75" width="9.7109375" style="18" customWidth="1"/>
    <col min="76" max="76" width="3.85546875" style="18" customWidth="1"/>
    <col min="77" max="77" width="5.28515625" style="18" customWidth="1"/>
    <col min="78" max="78" width="27.28515625" style="18" customWidth="1"/>
    <col min="79" max="79" width="9.7109375" style="18" customWidth="1"/>
    <col min="80" max="80" width="3.85546875" style="18" customWidth="1"/>
    <col min="81" max="81" width="5.28515625" style="18" customWidth="1"/>
    <col min="82" max="82" width="27.28515625" style="18" customWidth="1"/>
    <col min="83" max="83" width="27.28515625" style="18" hidden="1" customWidth="1"/>
    <col min="84" max="84" width="9.7109375" style="18" customWidth="1"/>
    <col min="85" max="85" width="3.85546875" style="18" customWidth="1"/>
    <col min="86" max="86" width="5.28515625" style="18" customWidth="1"/>
    <col min="87" max="87" width="27.28515625" style="18" customWidth="1"/>
    <col min="88" max="88" width="9.7109375" style="18" customWidth="1"/>
    <col min="89" max="89" width="3.85546875" style="18" customWidth="1"/>
    <col min="90" max="90" width="5.28515625" style="18" customWidth="1"/>
    <col min="91" max="91" width="27.28515625" style="18" customWidth="1"/>
    <col min="92" max="92" width="27.28515625" style="18" hidden="1" customWidth="1"/>
    <col min="93" max="93" width="9.7109375" style="18" customWidth="1"/>
    <col min="94" max="94" width="3.85546875" style="18" customWidth="1"/>
    <col min="95" max="95" width="5.28515625" style="18" customWidth="1"/>
    <col min="96" max="96" width="27.28515625" style="18" customWidth="1"/>
    <col min="97" max="97" width="8.7109375" style="18" customWidth="1"/>
    <col min="98" max="98" width="3.85546875" style="18" customWidth="1"/>
    <col min="99" max="99" width="5.28515625" style="18" customWidth="1"/>
    <col min="100" max="100" width="27.28515625" style="18" customWidth="1"/>
    <col min="101" max="101" width="27.28515625" style="18" hidden="1" customWidth="1"/>
    <col min="102" max="102" width="9.7109375" style="18" customWidth="1"/>
    <col min="103" max="103" width="3.85546875" style="18" customWidth="1"/>
    <col min="104" max="104" width="5.28515625" style="18" customWidth="1"/>
    <col min="105" max="105" width="27.28515625" style="18" customWidth="1"/>
    <col min="106" max="106" width="9.7109375" style="18" customWidth="1"/>
    <col min="107" max="107" width="3.85546875" style="18" customWidth="1"/>
    <col min="108" max="108" width="5.28515625" style="18" customWidth="1"/>
    <col min="109" max="109" width="27.28515625" style="18" customWidth="1"/>
    <col min="110" max="110" width="27.28515625" style="18" hidden="1" customWidth="1"/>
    <col min="111" max="111" width="9.7109375" style="18" customWidth="1"/>
    <col min="112" max="112" width="3.85546875" style="18" customWidth="1"/>
    <col min="113" max="113" width="5.28515625" style="18" customWidth="1"/>
    <col min="114" max="114" width="27.28515625" style="18" customWidth="1"/>
    <col min="115" max="115" width="9.7109375" style="18" customWidth="1"/>
    <col min="116" max="116" width="3.85546875" style="18" customWidth="1"/>
    <col min="117" max="117" width="5.28515625" style="18" customWidth="1"/>
    <col min="118" max="118" width="27.28515625" style="18" customWidth="1"/>
    <col min="119" max="119" width="27.28515625" style="18" hidden="1" customWidth="1"/>
    <col min="120" max="120" width="9.7109375" style="18" customWidth="1"/>
    <col min="121" max="121" width="3.85546875" style="18" customWidth="1"/>
    <col min="122" max="16384" width="8.7109375" style="18"/>
  </cols>
  <sheetData>
    <row r="1" spans="1:121" ht="15.75" x14ac:dyDescent="0.25">
      <c r="B1" s="273" t="s">
        <v>632</v>
      </c>
      <c r="C1" s="274"/>
      <c r="D1" s="274"/>
      <c r="F1" s="273" t="s">
        <v>633</v>
      </c>
      <c r="G1" s="274"/>
      <c r="H1" s="274"/>
      <c r="I1" s="273"/>
      <c r="J1" s="273"/>
      <c r="K1" s="273"/>
      <c r="L1" s="274"/>
      <c r="M1" s="274"/>
      <c r="N1" s="273"/>
      <c r="O1" s="273" t="s">
        <v>312</v>
      </c>
      <c r="P1" s="274"/>
      <c r="Q1" s="274"/>
      <c r="R1" s="273"/>
      <c r="S1" s="273"/>
      <c r="T1" s="273"/>
      <c r="U1" s="274"/>
      <c r="V1" s="274"/>
      <c r="W1" s="273"/>
      <c r="X1" s="273" t="s">
        <v>607</v>
      </c>
      <c r="Y1" s="274"/>
      <c r="Z1" s="274"/>
      <c r="AA1" s="273"/>
      <c r="AB1" s="273"/>
      <c r="AC1" s="273"/>
      <c r="AD1" s="274"/>
      <c r="AE1" s="274"/>
      <c r="AF1" s="273"/>
      <c r="AG1" s="273" t="s">
        <v>610</v>
      </c>
      <c r="AH1" s="274"/>
      <c r="AI1" s="274"/>
      <c r="AJ1" s="273"/>
      <c r="AK1" s="273"/>
      <c r="AL1" s="273"/>
      <c r="AM1" s="274"/>
      <c r="AN1" s="274"/>
      <c r="AO1" s="273"/>
      <c r="AP1" s="273" t="s">
        <v>449</v>
      </c>
      <c r="AQ1" s="274"/>
      <c r="AR1" s="274"/>
      <c r="AS1" s="273"/>
      <c r="AT1" s="273"/>
      <c r="AU1" s="273"/>
      <c r="AV1" s="274"/>
      <c r="AW1" s="274"/>
      <c r="AX1" s="273"/>
      <c r="AY1" s="273" t="s">
        <v>560</v>
      </c>
      <c r="AZ1" s="274"/>
      <c r="BA1" s="274"/>
      <c r="BB1" s="273"/>
      <c r="BC1" s="273"/>
      <c r="BD1" s="273"/>
      <c r="BE1" s="274"/>
      <c r="BF1" s="274"/>
      <c r="BG1" s="273"/>
      <c r="BH1" s="273" t="s">
        <v>644</v>
      </c>
      <c r="BI1" s="274"/>
      <c r="BJ1" s="274"/>
      <c r="BK1" s="273"/>
      <c r="BL1" s="273"/>
      <c r="BM1" s="273"/>
      <c r="BN1" s="274"/>
      <c r="BO1" s="274"/>
      <c r="BP1" s="273"/>
      <c r="BQ1" s="273" t="s">
        <v>227</v>
      </c>
      <c r="BR1" s="274"/>
      <c r="BS1" s="274"/>
      <c r="BT1" s="273"/>
      <c r="BU1" s="273"/>
      <c r="BV1" s="273"/>
      <c r="BW1" s="274"/>
      <c r="BX1" s="274"/>
      <c r="BY1" s="273"/>
      <c r="BZ1" s="273" t="s">
        <v>232</v>
      </c>
      <c r="CA1" s="274"/>
      <c r="CB1" s="274"/>
      <c r="CC1" s="273"/>
      <c r="CD1" s="273"/>
      <c r="CE1" s="273"/>
      <c r="CF1" s="274"/>
      <c r="CG1" s="274"/>
      <c r="CH1" s="273"/>
      <c r="CI1" s="271" t="s">
        <v>146</v>
      </c>
      <c r="CJ1" s="272"/>
      <c r="CK1" s="272"/>
      <c r="CL1" s="273"/>
      <c r="CM1" s="271"/>
      <c r="CN1" s="271"/>
      <c r="CO1" s="272"/>
      <c r="CP1" s="272"/>
      <c r="CQ1" s="273"/>
      <c r="CR1" s="271" t="s">
        <v>38</v>
      </c>
      <c r="CS1" s="272"/>
      <c r="CT1" s="272"/>
      <c r="CU1" s="273"/>
      <c r="CV1" s="271"/>
      <c r="CW1" s="271"/>
      <c r="CX1" s="272"/>
      <c r="CY1" s="272"/>
      <c r="CZ1" s="273"/>
      <c r="DA1" s="271" t="s">
        <v>21</v>
      </c>
      <c r="DB1" s="272"/>
      <c r="DC1" s="272"/>
      <c r="DD1" s="273"/>
      <c r="DE1" s="271"/>
      <c r="DF1" s="271"/>
      <c r="DG1" s="272"/>
      <c r="DH1" s="272"/>
      <c r="DI1" s="273"/>
      <c r="DJ1" s="271" t="s">
        <v>65</v>
      </c>
      <c r="DK1" s="272"/>
      <c r="DL1" s="272"/>
      <c r="DM1" s="273"/>
      <c r="DN1" s="271"/>
      <c r="DO1" s="271"/>
      <c r="DP1" s="272"/>
      <c r="DQ1" s="272"/>
    </row>
    <row r="2" spans="1:121" s="312" customFormat="1" ht="51" x14ac:dyDescent="0.2">
      <c r="A2" s="311" t="s">
        <v>42</v>
      </c>
      <c r="B2" s="193" t="s">
        <v>591</v>
      </c>
      <c r="C2" s="311" t="s">
        <v>531</v>
      </c>
      <c r="E2" s="311" t="s">
        <v>42</v>
      </c>
      <c r="F2" s="193" t="s">
        <v>591</v>
      </c>
      <c r="G2" s="311" t="s">
        <v>634</v>
      </c>
      <c r="I2" s="311" t="s">
        <v>42</v>
      </c>
      <c r="J2" s="193" t="s">
        <v>591</v>
      </c>
      <c r="K2" s="311" t="s">
        <v>46</v>
      </c>
      <c r="L2" s="311" t="s">
        <v>47</v>
      </c>
      <c r="N2" s="311" t="s">
        <v>42</v>
      </c>
      <c r="O2" s="193" t="s">
        <v>591</v>
      </c>
      <c r="P2" s="311" t="s">
        <v>313</v>
      </c>
      <c r="R2" s="311" t="s">
        <v>42</v>
      </c>
      <c r="S2" s="193" t="s">
        <v>591</v>
      </c>
      <c r="T2" s="311" t="s">
        <v>314</v>
      </c>
      <c r="U2" s="311" t="s">
        <v>0</v>
      </c>
      <c r="W2" s="311" t="s">
        <v>42</v>
      </c>
      <c r="X2" s="193" t="s">
        <v>591</v>
      </c>
      <c r="Y2" s="311" t="s">
        <v>608</v>
      </c>
      <c r="AA2" s="311" t="s">
        <v>42</v>
      </c>
      <c r="AB2" s="193" t="s">
        <v>591</v>
      </c>
      <c r="AC2" s="311" t="s">
        <v>609</v>
      </c>
      <c r="AD2" s="311" t="s">
        <v>1</v>
      </c>
      <c r="AF2" s="311" t="s">
        <v>42</v>
      </c>
      <c r="AG2" s="193" t="s">
        <v>591</v>
      </c>
      <c r="AH2" s="311" t="s">
        <v>611</v>
      </c>
      <c r="AJ2" s="311" t="s">
        <v>42</v>
      </c>
      <c r="AK2" s="193" t="s">
        <v>591</v>
      </c>
      <c r="AL2" s="311" t="s">
        <v>550</v>
      </c>
      <c r="AM2" s="311" t="s">
        <v>2</v>
      </c>
      <c r="AO2" s="311" t="s">
        <v>42</v>
      </c>
      <c r="AP2" s="193" t="s">
        <v>591</v>
      </c>
      <c r="AQ2" s="311" t="s">
        <v>558</v>
      </c>
      <c r="AS2" s="311" t="s">
        <v>42</v>
      </c>
      <c r="AT2" s="193" t="s">
        <v>591</v>
      </c>
      <c r="AU2" s="311" t="s">
        <v>559</v>
      </c>
      <c r="AV2" s="311" t="s">
        <v>55</v>
      </c>
      <c r="AX2" s="311" t="s">
        <v>42</v>
      </c>
      <c r="AY2" s="193" t="s">
        <v>591</v>
      </c>
      <c r="AZ2" s="311" t="s">
        <v>561</v>
      </c>
      <c r="BB2" s="311" t="s">
        <v>42</v>
      </c>
      <c r="BC2" s="193" t="s">
        <v>591</v>
      </c>
      <c r="BD2" s="311" t="s">
        <v>643</v>
      </c>
      <c r="BE2" s="311" t="s">
        <v>56</v>
      </c>
      <c r="BG2" s="311" t="s">
        <v>42</v>
      </c>
      <c r="BH2" s="193" t="s">
        <v>591</v>
      </c>
      <c r="BI2" s="311" t="s">
        <v>645</v>
      </c>
      <c r="BK2" s="311" t="s">
        <v>42</v>
      </c>
      <c r="BL2" s="193" t="s">
        <v>591</v>
      </c>
      <c r="BM2" s="311" t="s">
        <v>646</v>
      </c>
      <c r="BN2" s="311" t="s">
        <v>57</v>
      </c>
      <c r="BP2" s="311" t="s">
        <v>42</v>
      </c>
      <c r="BQ2" s="193" t="s">
        <v>591</v>
      </c>
      <c r="BR2" s="311" t="s">
        <v>228</v>
      </c>
      <c r="BT2" s="311" t="s">
        <v>42</v>
      </c>
      <c r="BU2" s="193" t="s">
        <v>591</v>
      </c>
      <c r="BV2" s="311" t="s">
        <v>229</v>
      </c>
      <c r="BW2" s="311" t="s">
        <v>207</v>
      </c>
      <c r="BY2" s="311" t="s">
        <v>42</v>
      </c>
      <c r="BZ2" s="193" t="s">
        <v>591</v>
      </c>
      <c r="CA2" s="311" t="s">
        <v>548</v>
      </c>
      <c r="CC2" s="311" t="s">
        <v>42</v>
      </c>
      <c r="CD2" s="193" t="s">
        <v>591</v>
      </c>
      <c r="CE2" s="311" t="s">
        <v>529</v>
      </c>
      <c r="CF2" s="311" t="s">
        <v>88</v>
      </c>
      <c r="CH2" s="311" t="s">
        <v>42</v>
      </c>
      <c r="CI2" s="193" t="s">
        <v>591</v>
      </c>
      <c r="CJ2" s="311" t="s">
        <v>147</v>
      </c>
      <c r="CL2" s="311" t="s">
        <v>42</v>
      </c>
      <c r="CM2" s="193" t="s">
        <v>591</v>
      </c>
      <c r="CN2" s="311" t="s">
        <v>19</v>
      </c>
      <c r="CO2" s="311" t="s">
        <v>20</v>
      </c>
      <c r="CQ2" s="311" t="s">
        <v>42</v>
      </c>
      <c r="CR2" s="193" t="s">
        <v>591</v>
      </c>
      <c r="CS2" s="311" t="s">
        <v>39</v>
      </c>
      <c r="CU2" s="311" t="s">
        <v>42</v>
      </c>
      <c r="CV2" s="193" t="s">
        <v>591</v>
      </c>
      <c r="CW2" s="311" t="s">
        <v>40</v>
      </c>
      <c r="CX2" s="311" t="s">
        <v>41</v>
      </c>
      <c r="CZ2" s="311" t="s">
        <v>42</v>
      </c>
      <c r="DA2" s="193" t="s">
        <v>591</v>
      </c>
      <c r="DB2" s="311" t="s">
        <v>23</v>
      </c>
      <c r="DD2" s="311" t="s">
        <v>42</v>
      </c>
      <c r="DE2" s="193" t="s">
        <v>591</v>
      </c>
      <c r="DF2" s="311" t="s">
        <v>22</v>
      </c>
      <c r="DG2" s="311" t="s">
        <v>35</v>
      </c>
      <c r="DI2" s="311" t="s">
        <v>42</v>
      </c>
      <c r="DJ2" s="193" t="s">
        <v>591</v>
      </c>
      <c r="DK2" s="311" t="s">
        <v>89</v>
      </c>
      <c r="DM2" s="311" t="s">
        <v>42</v>
      </c>
      <c r="DN2" s="193" t="s">
        <v>591</v>
      </c>
      <c r="DO2" s="311" t="s">
        <v>90</v>
      </c>
      <c r="DP2" s="311" t="s">
        <v>145</v>
      </c>
    </row>
    <row r="3" spans="1:121" x14ac:dyDescent="0.2">
      <c r="A3" s="203"/>
      <c r="B3" s="193"/>
      <c r="C3" s="203"/>
      <c r="E3" s="203"/>
      <c r="F3" s="193"/>
      <c r="G3" s="203"/>
      <c r="I3" s="203"/>
      <c r="J3" s="193"/>
      <c r="K3" s="203"/>
      <c r="L3" s="203"/>
      <c r="N3" s="203"/>
      <c r="O3" s="193"/>
      <c r="P3" s="203"/>
      <c r="R3" s="203"/>
      <c r="S3" s="193"/>
      <c r="T3" s="203"/>
      <c r="U3" s="203"/>
      <c r="W3" s="203"/>
      <c r="X3" s="193"/>
      <c r="Y3" s="203"/>
      <c r="AA3" s="203"/>
      <c r="AB3" s="193"/>
      <c r="AC3" s="203"/>
      <c r="AD3" s="203"/>
      <c r="AF3" s="203"/>
      <c r="AG3" s="193"/>
      <c r="AH3" s="203"/>
      <c r="AJ3" s="203"/>
      <c r="AK3" s="193"/>
      <c r="AL3" s="203"/>
      <c r="AM3" s="203"/>
      <c r="AO3" s="203"/>
      <c r="AP3" s="193"/>
      <c r="AQ3" s="203"/>
      <c r="AS3" s="203"/>
      <c r="AT3" s="193"/>
      <c r="AU3" s="203"/>
      <c r="AV3" s="203"/>
      <c r="AX3" s="203"/>
      <c r="AY3" s="193"/>
      <c r="AZ3" s="203"/>
      <c r="BB3" s="203"/>
      <c r="BC3" s="193"/>
      <c r="BD3" s="203"/>
      <c r="BE3" s="203"/>
      <c r="BG3" s="203"/>
      <c r="BH3" s="193"/>
      <c r="BI3" s="203"/>
      <c r="BK3" s="203"/>
      <c r="BL3" s="193"/>
      <c r="BM3" s="203"/>
      <c r="BN3" s="203"/>
      <c r="BP3" s="203"/>
      <c r="BQ3" s="193"/>
      <c r="BR3" s="203"/>
      <c r="BT3" s="203"/>
      <c r="BU3" s="193"/>
      <c r="BV3" s="203"/>
      <c r="BW3" s="203"/>
      <c r="BY3" s="203"/>
      <c r="BZ3" s="193"/>
      <c r="CA3" s="203"/>
      <c r="CC3" s="203"/>
      <c r="CD3" s="193"/>
      <c r="CE3" s="203"/>
      <c r="CF3" s="203"/>
      <c r="CH3" s="203"/>
      <c r="CI3" s="193"/>
      <c r="CJ3" s="203"/>
      <c r="CL3" s="203"/>
      <c r="CM3" s="193"/>
      <c r="CN3" s="203"/>
      <c r="CO3" s="203"/>
      <c r="CQ3" s="203"/>
      <c r="CR3" s="193"/>
      <c r="CS3" s="203"/>
      <c r="CU3" s="203"/>
      <c r="CV3" s="193"/>
      <c r="CW3" s="203"/>
      <c r="CX3" s="203"/>
      <c r="CZ3" s="203"/>
      <c r="DA3" s="193"/>
      <c r="DB3" s="203"/>
      <c r="DD3" s="203"/>
      <c r="DE3" s="193"/>
      <c r="DF3" s="203"/>
      <c r="DG3" s="203"/>
      <c r="DI3" s="203"/>
      <c r="DJ3" s="193"/>
      <c r="DK3" s="203"/>
      <c r="DM3" s="203"/>
      <c r="DN3" s="193"/>
      <c r="DO3" s="203"/>
      <c r="DP3" s="203"/>
    </row>
    <row r="4" spans="1:121" s="204" customFormat="1" x14ac:dyDescent="0.2">
      <c r="A4" s="304">
        <v>31</v>
      </c>
      <c r="B4" s="308" t="s">
        <v>315</v>
      </c>
      <c r="C4" s="309">
        <v>2192.3894721587162</v>
      </c>
      <c r="E4" s="302">
        <v>2</v>
      </c>
      <c r="F4" s="113" t="s">
        <v>316</v>
      </c>
      <c r="G4" s="205">
        <v>1589.8344175154321</v>
      </c>
      <c r="I4" s="302">
        <v>2</v>
      </c>
      <c r="J4" s="113" t="s">
        <v>316</v>
      </c>
      <c r="K4" s="236">
        <v>2.5288953033329999</v>
      </c>
      <c r="L4" s="205">
        <f t="shared" ref="L4:L61" si="0">K4*1000</f>
        <v>2528.8953033329999</v>
      </c>
      <c r="N4" s="303">
        <v>23</v>
      </c>
      <c r="O4" s="113" t="s">
        <v>581</v>
      </c>
      <c r="P4" s="205">
        <v>33.575743907467789</v>
      </c>
      <c r="R4" s="306">
        <v>46</v>
      </c>
      <c r="S4" s="113" t="s">
        <v>535</v>
      </c>
      <c r="T4" s="205">
        <v>0.10211164340165906</v>
      </c>
      <c r="U4" s="205">
        <f t="shared" ref="U4:U61" si="1">T4*1000</f>
        <v>102.11164340165905</v>
      </c>
      <c r="W4" s="304">
        <v>31</v>
      </c>
      <c r="X4" s="113" t="s">
        <v>315</v>
      </c>
      <c r="Y4" s="205">
        <v>1560.8304464530399</v>
      </c>
      <c r="AA4" s="306">
        <v>46</v>
      </c>
      <c r="AB4" s="113" t="s">
        <v>535</v>
      </c>
      <c r="AC4" s="205">
        <v>3.0185003037209195</v>
      </c>
      <c r="AD4" s="205">
        <f t="shared" ref="AD4:AD61" si="2">AC4*1000</f>
        <v>3018.5003037209194</v>
      </c>
      <c r="AF4" s="306">
        <v>45</v>
      </c>
      <c r="AG4" s="113" t="s">
        <v>448</v>
      </c>
      <c r="AH4" s="205">
        <v>4010.8202927178804</v>
      </c>
      <c r="AJ4" s="306">
        <v>47</v>
      </c>
      <c r="AK4" s="113" t="s">
        <v>603</v>
      </c>
      <c r="AL4" s="205">
        <v>14.045478822540815</v>
      </c>
      <c r="AM4" s="205">
        <f t="shared" ref="AM4:AM61" si="3">AL4*1000</f>
        <v>14045.478822540816</v>
      </c>
      <c r="AO4" s="305">
        <v>38</v>
      </c>
      <c r="AP4" s="113" t="s">
        <v>605</v>
      </c>
      <c r="AQ4" s="205">
        <v>155.55675668545231</v>
      </c>
      <c r="AS4" s="306">
        <v>46</v>
      </c>
      <c r="AT4" s="113" t="s">
        <v>535</v>
      </c>
      <c r="AU4" s="205">
        <v>1.5737204170407861</v>
      </c>
      <c r="AV4" s="205">
        <f t="shared" ref="AV4:AV61" si="4">AU4*1000</f>
        <v>1573.7204170407861</v>
      </c>
      <c r="AX4" s="304">
        <v>29</v>
      </c>
      <c r="AY4" s="113" t="s">
        <v>615</v>
      </c>
      <c r="AZ4" s="205">
        <v>2.6215542640177039</v>
      </c>
      <c r="BB4" s="306">
        <v>46</v>
      </c>
      <c r="BC4" s="113" t="s">
        <v>535</v>
      </c>
      <c r="BD4" s="206">
        <v>5.3155055457230161E-3</v>
      </c>
      <c r="BE4" s="205">
        <f t="shared" ref="BE4:BE61" si="5">BD4*1000</f>
        <v>5.315505545723016</v>
      </c>
      <c r="BG4" s="303">
        <v>12</v>
      </c>
      <c r="BH4" s="113" t="s">
        <v>454</v>
      </c>
      <c r="BI4" s="205">
        <v>9.9943722540985647</v>
      </c>
      <c r="BK4" s="303">
        <v>12</v>
      </c>
      <c r="BL4" s="113" t="s">
        <v>454</v>
      </c>
      <c r="BM4" s="206">
        <v>3.3138948044820961E-2</v>
      </c>
      <c r="BN4" s="205">
        <f t="shared" ref="BN4:BN61" si="6">BM4*1000</f>
        <v>33.138948044820964</v>
      </c>
      <c r="BP4" s="306">
        <v>43</v>
      </c>
      <c r="BQ4" s="113" t="s">
        <v>332</v>
      </c>
      <c r="BR4" s="205">
        <v>3372.8490126951679</v>
      </c>
      <c r="BT4" s="306">
        <v>51</v>
      </c>
      <c r="BU4" s="113" t="s">
        <v>330</v>
      </c>
      <c r="BV4" s="205">
        <v>10.024284091452575</v>
      </c>
      <c r="BW4" s="205">
        <f t="shared" ref="BW4:BW61" si="7">BV4*1000</f>
        <v>10024.284091452575</v>
      </c>
      <c r="BY4" s="304">
        <v>29</v>
      </c>
      <c r="BZ4" s="113" t="s">
        <v>615</v>
      </c>
      <c r="CA4" s="205">
        <v>30.177153707744491</v>
      </c>
      <c r="CC4" s="304">
        <v>27</v>
      </c>
      <c r="CD4" s="113" t="s">
        <v>457</v>
      </c>
      <c r="CE4" s="206">
        <v>4.7630458395751293E-2</v>
      </c>
      <c r="CF4" s="205">
        <f t="shared" ref="CF4:CF61" si="8">CE4*1000</f>
        <v>47.63045839575129</v>
      </c>
      <c r="CH4" s="307">
        <v>54</v>
      </c>
      <c r="CI4" s="113" t="s">
        <v>49</v>
      </c>
      <c r="CJ4" s="205">
        <v>3308.9949475084936</v>
      </c>
      <c r="CL4" s="306">
        <v>49</v>
      </c>
      <c r="CM4" s="113" t="s">
        <v>48</v>
      </c>
      <c r="CN4" s="206">
        <v>6.508520546219402</v>
      </c>
      <c r="CO4" s="205">
        <f t="shared" ref="CO4:CO61" si="9">CN4*1000</f>
        <v>6508.5205462194017</v>
      </c>
      <c r="CQ4" s="307">
        <v>54</v>
      </c>
      <c r="CR4" s="113" t="s">
        <v>49</v>
      </c>
      <c r="CS4" s="205">
        <v>91.41381192801822</v>
      </c>
      <c r="CU4" s="307">
        <v>54</v>
      </c>
      <c r="CV4" s="113" t="s">
        <v>49</v>
      </c>
      <c r="CW4" s="206">
        <v>9.143360781954861E-2</v>
      </c>
      <c r="CX4" s="205">
        <f t="shared" ref="CX4:CX61" si="10">CW4*1000</f>
        <v>91.433607819548612</v>
      </c>
      <c r="CZ4" s="302">
        <v>1</v>
      </c>
      <c r="DA4" s="113" t="s">
        <v>577</v>
      </c>
      <c r="DB4" s="205">
        <f>('nutrient content'!AA3/9)/calculations!C6</f>
        <v>14.635915620947699</v>
      </c>
      <c r="DD4" s="302">
        <v>3</v>
      </c>
      <c r="DE4" s="113" t="s">
        <v>29</v>
      </c>
      <c r="DF4" s="206">
        <v>4.535625235310304E-2</v>
      </c>
      <c r="DG4" s="205">
        <f t="shared" ref="DG4:DG61" si="11">DF4*1000</f>
        <v>45.356252353103038</v>
      </c>
      <c r="DI4" s="303">
        <v>20</v>
      </c>
      <c r="DJ4" s="113" t="s">
        <v>579</v>
      </c>
      <c r="DK4" s="205">
        <v>1607.7346616081297</v>
      </c>
      <c r="DM4" s="303">
        <v>20</v>
      </c>
      <c r="DN4" s="113" t="s">
        <v>579</v>
      </c>
      <c r="DO4" s="206">
        <v>1.899089346680443</v>
      </c>
      <c r="DP4" s="205">
        <f t="shared" ref="DP4:DP61" si="12">DO4*1000</f>
        <v>1899.089346680443</v>
      </c>
    </row>
    <row r="5" spans="1:121" s="204" customFormat="1" x14ac:dyDescent="0.2">
      <c r="A5" s="304">
        <v>30</v>
      </c>
      <c r="B5" s="308" t="s">
        <v>322</v>
      </c>
      <c r="C5" s="309">
        <v>1438.8577922171842</v>
      </c>
      <c r="E5" s="302">
        <v>1</v>
      </c>
      <c r="F5" s="113" t="s">
        <v>577</v>
      </c>
      <c r="G5" s="205">
        <v>1210.2253953600339</v>
      </c>
      <c r="I5" s="306">
        <v>44</v>
      </c>
      <c r="J5" s="113" t="s">
        <v>176</v>
      </c>
      <c r="K5" s="205">
        <v>2.3471324405472194</v>
      </c>
      <c r="L5" s="205">
        <f t="shared" si="0"/>
        <v>2347.1324405472192</v>
      </c>
      <c r="N5" s="304">
        <v>25</v>
      </c>
      <c r="O5" s="113" t="s">
        <v>602</v>
      </c>
      <c r="P5" s="205">
        <v>29.975077140009986</v>
      </c>
      <c r="R5" s="306">
        <v>44</v>
      </c>
      <c r="S5" s="113" t="s">
        <v>176</v>
      </c>
      <c r="T5" s="205">
        <v>6.2167353576810358E-2</v>
      </c>
      <c r="U5" s="205">
        <f t="shared" si="1"/>
        <v>62.167353576810356</v>
      </c>
      <c r="W5" s="304">
        <v>27</v>
      </c>
      <c r="X5" s="113" t="s">
        <v>457</v>
      </c>
      <c r="Y5" s="205">
        <v>1185.5066737236314</v>
      </c>
      <c r="AA5" s="304">
        <v>27</v>
      </c>
      <c r="AB5" s="113" t="s">
        <v>457</v>
      </c>
      <c r="AC5" s="205">
        <v>1.8932866788224636</v>
      </c>
      <c r="AD5" s="205">
        <f t="shared" si="2"/>
        <v>1893.2866788224635</v>
      </c>
      <c r="AF5" s="306">
        <v>47</v>
      </c>
      <c r="AG5" s="113" t="s">
        <v>603</v>
      </c>
      <c r="AH5" s="205">
        <v>3339.4572771357384</v>
      </c>
      <c r="AJ5" s="306">
        <v>44</v>
      </c>
      <c r="AK5" s="113" t="s">
        <v>176</v>
      </c>
      <c r="AL5" s="205">
        <v>7.1323031561573096</v>
      </c>
      <c r="AM5" s="205">
        <f t="shared" si="3"/>
        <v>7132.3031561573098</v>
      </c>
      <c r="AO5" s="305">
        <v>39</v>
      </c>
      <c r="AP5" s="113" t="s">
        <v>583</v>
      </c>
      <c r="AQ5" s="205">
        <v>127.8964701375547</v>
      </c>
      <c r="AS5" s="305">
        <v>38</v>
      </c>
      <c r="AT5" s="113" t="s">
        <v>605</v>
      </c>
      <c r="AU5" s="205">
        <v>0.81291104976823114</v>
      </c>
      <c r="AV5" s="205">
        <f t="shared" si="4"/>
        <v>812.91104976823112</v>
      </c>
      <c r="AX5" s="304">
        <v>27</v>
      </c>
      <c r="AY5" s="113" t="s">
        <v>457</v>
      </c>
      <c r="AZ5" s="205">
        <v>2.5890190334839827</v>
      </c>
      <c r="BB5" s="304">
        <v>27</v>
      </c>
      <c r="BC5" s="113" t="s">
        <v>457</v>
      </c>
      <c r="BD5" s="206">
        <v>4.1347344185898227E-3</v>
      </c>
      <c r="BE5" s="205">
        <f t="shared" si="5"/>
        <v>4.1347344185898223</v>
      </c>
      <c r="BG5" s="304">
        <v>27</v>
      </c>
      <c r="BH5" s="113" t="s">
        <v>457</v>
      </c>
      <c r="BI5" s="205">
        <v>7.0117137670550518</v>
      </c>
      <c r="BK5" s="303">
        <v>13</v>
      </c>
      <c r="BL5" s="113" t="s">
        <v>565</v>
      </c>
      <c r="BM5" s="206">
        <v>2.0846082820387725E-2</v>
      </c>
      <c r="BN5" s="205">
        <f t="shared" si="6"/>
        <v>20.846082820387725</v>
      </c>
      <c r="BP5" s="306">
        <v>42</v>
      </c>
      <c r="BQ5" s="113" t="s">
        <v>230</v>
      </c>
      <c r="BR5" s="205">
        <v>2509.9700066214923</v>
      </c>
      <c r="BT5" s="306">
        <v>46</v>
      </c>
      <c r="BU5" s="113" t="s">
        <v>535</v>
      </c>
      <c r="BV5" s="205">
        <v>9.188328999220964</v>
      </c>
      <c r="BW5" s="205">
        <f t="shared" si="7"/>
        <v>9188.3289992209648</v>
      </c>
      <c r="BY5" s="304">
        <v>27</v>
      </c>
      <c r="BZ5" s="113" t="s">
        <v>457</v>
      </c>
      <c r="CA5" s="205">
        <v>29.824445992404225</v>
      </c>
      <c r="CC5" s="304">
        <v>29</v>
      </c>
      <c r="CD5" s="113" t="s">
        <v>615</v>
      </c>
      <c r="CE5" s="206">
        <v>4.4958110847131541E-2</v>
      </c>
      <c r="CF5" s="205">
        <f t="shared" si="8"/>
        <v>44.958110847131543</v>
      </c>
      <c r="CH5" s="306">
        <v>49</v>
      </c>
      <c r="CI5" s="113" t="s">
        <v>48</v>
      </c>
      <c r="CJ5" s="205">
        <v>2361.5912058558338</v>
      </c>
      <c r="CL5" s="303">
        <v>19</v>
      </c>
      <c r="CM5" s="113" t="s">
        <v>555</v>
      </c>
      <c r="CN5" s="206">
        <v>6.3617888247348136</v>
      </c>
      <c r="CO5" s="205">
        <f t="shared" si="9"/>
        <v>6361.7888247348137</v>
      </c>
      <c r="CQ5" s="303">
        <v>24</v>
      </c>
      <c r="CR5" s="113" t="s">
        <v>15</v>
      </c>
      <c r="CS5" s="205">
        <v>83.879288992924387</v>
      </c>
      <c r="CU5" s="303">
        <v>18</v>
      </c>
      <c r="CV5" s="113" t="s">
        <v>578</v>
      </c>
      <c r="CW5" s="206">
        <v>8.6093127826882249E-2</v>
      </c>
      <c r="CX5" s="205">
        <f t="shared" si="10"/>
        <v>86.093127826882252</v>
      </c>
      <c r="CZ5" s="303">
        <v>18</v>
      </c>
      <c r="DA5" s="113" t="s">
        <v>578</v>
      </c>
      <c r="DB5" s="205">
        <f>('nutrient content'!AA20/9)/calculations!C23</f>
        <v>15.607784086581848</v>
      </c>
      <c r="DD5" s="302">
        <v>1</v>
      </c>
      <c r="DE5" s="113" t="s">
        <v>577</v>
      </c>
      <c r="DF5" s="206">
        <v>3.4866601400539494E-2</v>
      </c>
      <c r="DG5" s="205">
        <f t="shared" si="11"/>
        <v>34.866601400539494</v>
      </c>
      <c r="DI5" s="303">
        <v>16</v>
      </c>
      <c r="DJ5" s="113" t="s">
        <v>553</v>
      </c>
      <c r="DK5" s="205">
        <v>367.54329912519569</v>
      </c>
      <c r="DM5" s="303">
        <v>13</v>
      </c>
      <c r="DN5" s="113" t="s">
        <v>565</v>
      </c>
      <c r="DO5" s="206">
        <v>0.91607497427073503</v>
      </c>
      <c r="DP5" s="205">
        <f t="shared" si="12"/>
        <v>916.07497427073508</v>
      </c>
    </row>
    <row r="6" spans="1:121" s="204" customFormat="1" x14ac:dyDescent="0.2">
      <c r="A6" s="304">
        <v>25</v>
      </c>
      <c r="B6" s="308" t="s">
        <v>602</v>
      </c>
      <c r="C6" s="309">
        <v>1304.0187220943533</v>
      </c>
      <c r="E6" s="302">
        <v>3</v>
      </c>
      <c r="F6" s="113" t="s">
        <v>29</v>
      </c>
      <c r="G6" s="205">
        <v>892.43604380281442</v>
      </c>
      <c r="I6" s="306">
        <v>46</v>
      </c>
      <c r="J6" s="113" t="s">
        <v>535</v>
      </c>
      <c r="K6" s="205">
        <v>2.245614641665123</v>
      </c>
      <c r="L6" s="205">
        <f t="shared" si="0"/>
        <v>2245.6146416651231</v>
      </c>
      <c r="N6" s="304">
        <v>30</v>
      </c>
      <c r="O6" s="113" t="s">
        <v>322</v>
      </c>
      <c r="P6" s="205">
        <v>22.845537270999078</v>
      </c>
      <c r="R6" s="306">
        <v>47</v>
      </c>
      <c r="S6" s="113" t="s">
        <v>603</v>
      </c>
      <c r="T6" s="205">
        <v>6.1254479329934754E-2</v>
      </c>
      <c r="U6" s="205">
        <f t="shared" si="1"/>
        <v>61.254479329934753</v>
      </c>
      <c r="W6" s="304">
        <v>29</v>
      </c>
      <c r="X6" s="113" t="s">
        <v>615</v>
      </c>
      <c r="Y6" s="205">
        <v>1072.9679698173852</v>
      </c>
      <c r="AA6" s="306">
        <v>44</v>
      </c>
      <c r="AB6" s="113" t="s">
        <v>176</v>
      </c>
      <c r="AC6" s="205">
        <v>1.8734524221904929</v>
      </c>
      <c r="AD6" s="205">
        <f t="shared" si="2"/>
        <v>1873.4524221904928</v>
      </c>
      <c r="AF6" s="306">
        <v>44</v>
      </c>
      <c r="AG6" s="113" t="s">
        <v>176</v>
      </c>
      <c r="AH6" s="205">
        <v>886.72383995908058</v>
      </c>
      <c r="AJ6" s="306">
        <v>45</v>
      </c>
      <c r="AK6" s="113" t="s">
        <v>448</v>
      </c>
      <c r="AL6" s="205">
        <v>6.9695457280751976</v>
      </c>
      <c r="AM6" s="205">
        <f t="shared" si="3"/>
        <v>6969.545728075198</v>
      </c>
      <c r="AO6" s="306">
        <v>46</v>
      </c>
      <c r="AP6" s="113" t="s">
        <v>535</v>
      </c>
      <c r="AQ6" s="205">
        <v>100.51304273443905</v>
      </c>
      <c r="AS6" s="305">
        <v>39</v>
      </c>
      <c r="AT6" s="113" t="s">
        <v>583</v>
      </c>
      <c r="AU6" s="205">
        <v>0.77149252572757354</v>
      </c>
      <c r="AV6" s="205">
        <f t="shared" si="4"/>
        <v>771.49252572757359</v>
      </c>
      <c r="AX6" s="306">
        <v>43</v>
      </c>
      <c r="AY6" s="113" t="s">
        <v>332</v>
      </c>
      <c r="AZ6" s="205">
        <v>2.4185650460469943</v>
      </c>
      <c r="BB6" s="304">
        <v>29</v>
      </c>
      <c r="BC6" s="113" t="s">
        <v>615</v>
      </c>
      <c r="BD6" s="206">
        <v>3.9056078096335279E-3</v>
      </c>
      <c r="BE6" s="205">
        <f t="shared" si="5"/>
        <v>3.905607809633528</v>
      </c>
      <c r="BG6" s="304">
        <v>29</v>
      </c>
      <c r="BH6" s="113" t="s">
        <v>615</v>
      </c>
      <c r="BI6" s="205">
        <v>6.6742113311174842</v>
      </c>
      <c r="BK6" s="303">
        <v>8</v>
      </c>
      <c r="BL6" s="113" t="s">
        <v>639</v>
      </c>
      <c r="BM6" s="206">
        <v>1.138790931709731E-2</v>
      </c>
      <c r="BN6" s="205">
        <f t="shared" si="6"/>
        <v>11.387909317097311</v>
      </c>
      <c r="BP6" s="303">
        <v>23</v>
      </c>
      <c r="BQ6" s="113" t="s">
        <v>581</v>
      </c>
      <c r="BR6" s="205">
        <v>2110.5367251670364</v>
      </c>
      <c r="BT6" s="306">
        <v>47</v>
      </c>
      <c r="BU6" s="113" t="s">
        <v>603</v>
      </c>
      <c r="BV6" s="205">
        <v>6.9848154537454548</v>
      </c>
      <c r="BW6" s="205">
        <f t="shared" si="7"/>
        <v>6984.8154537454548</v>
      </c>
      <c r="BY6" s="304">
        <v>31</v>
      </c>
      <c r="BZ6" s="113" t="s">
        <v>315</v>
      </c>
      <c r="CA6" s="205">
        <v>19.058099510611839</v>
      </c>
      <c r="CC6" s="304">
        <v>28</v>
      </c>
      <c r="CD6" s="113" t="s">
        <v>63</v>
      </c>
      <c r="CE6" s="206">
        <v>4.1368492688014714E-2</v>
      </c>
      <c r="CF6" s="205">
        <f t="shared" si="8"/>
        <v>41.368492688014712</v>
      </c>
      <c r="CH6" s="304">
        <v>26</v>
      </c>
      <c r="CI6" s="113" t="s">
        <v>329</v>
      </c>
      <c r="CJ6" s="205">
        <v>2318.3216323800993</v>
      </c>
      <c r="CL6" s="303">
        <v>8</v>
      </c>
      <c r="CM6" s="113" t="s">
        <v>639</v>
      </c>
      <c r="CN6" s="206">
        <v>5.0210660156373867</v>
      </c>
      <c r="CO6" s="205">
        <f t="shared" si="9"/>
        <v>5021.066015637387</v>
      </c>
      <c r="CQ6" s="306">
        <v>42</v>
      </c>
      <c r="CR6" s="113" t="s">
        <v>230</v>
      </c>
      <c r="CS6" s="205">
        <v>63.517638090420469</v>
      </c>
      <c r="CU6" s="303">
        <v>24</v>
      </c>
      <c r="CV6" s="113" t="s">
        <v>15</v>
      </c>
      <c r="CW6" s="206">
        <v>8.4631264804649983E-2</v>
      </c>
      <c r="CX6" s="205">
        <f t="shared" si="10"/>
        <v>84.631264804649987</v>
      </c>
      <c r="CZ6" s="302">
        <v>3</v>
      </c>
      <c r="DA6" s="113" t="s">
        <v>29</v>
      </c>
      <c r="DB6" s="205">
        <f>('nutrient content'!AA5/9)/calculations!C8</f>
        <v>14.987897961577573</v>
      </c>
      <c r="DD6" s="303">
        <v>18</v>
      </c>
      <c r="DE6" s="113" t="s">
        <v>578</v>
      </c>
      <c r="DF6" s="206">
        <v>3.1682999276614818E-2</v>
      </c>
      <c r="DG6" s="205">
        <f t="shared" si="11"/>
        <v>31.682999276614819</v>
      </c>
      <c r="DI6" s="303">
        <v>14</v>
      </c>
      <c r="DJ6" s="113" t="s">
        <v>456</v>
      </c>
      <c r="DK6" s="205">
        <v>272.91105657333554</v>
      </c>
      <c r="DM6" s="303">
        <v>16</v>
      </c>
      <c r="DN6" s="113" t="s">
        <v>553</v>
      </c>
      <c r="DO6" s="206">
        <v>0.84248991225079128</v>
      </c>
      <c r="DP6" s="205">
        <f t="shared" si="12"/>
        <v>842.48991225079124</v>
      </c>
    </row>
    <row r="7" spans="1:121" s="204" customFormat="1" x14ac:dyDescent="0.2">
      <c r="A7" s="304">
        <v>26</v>
      </c>
      <c r="B7" s="308" t="s">
        <v>329</v>
      </c>
      <c r="C7" s="309">
        <v>1240.2979009480603</v>
      </c>
      <c r="E7" s="304">
        <v>26</v>
      </c>
      <c r="F7" s="113" t="s">
        <v>329</v>
      </c>
      <c r="G7" s="205">
        <v>540.8948196774312</v>
      </c>
      <c r="I7" s="302">
        <v>3</v>
      </c>
      <c r="J7" s="113" t="s">
        <v>29</v>
      </c>
      <c r="K7" s="205">
        <v>1.8633753781903994</v>
      </c>
      <c r="L7" s="205">
        <f t="shared" si="0"/>
        <v>1863.3753781903995</v>
      </c>
      <c r="N7" s="306">
        <v>45</v>
      </c>
      <c r="O7" s="113" t="s">
        <v>448</v>
      </c>
      <c r="P7" s="205">
        <v>16.207934910482109</v>
      </c>
      <c r="R7" s="306">
        <v>51</v>
      </c>
      <c r="S7" s="113" t="s">
        <v>330</v>
      </c>
      <c r="T7" s="205">
        <v>4.808808311949947E-2</v>
      </c>
      <c r="U7" s="205">
        <f t="shared" si="1"/>
        <v>48.088083119499473</v>
      </c>
      <c r="W7" s="304">
        <v>26</v>
      </c>
      <c r="X7" s="113" t="s">
        <v>329</v>
      </c>
      <c r="Y7" s="205">
        <v>662.30332664965238</v>
      </c>
      <c r="AA7" s="304">
        <v>29</v>
      </c>
      <c r="AB7" s="113" t="s">
        <v>615</v>
      </c>
      <c r="AC7" s="205">
        <v>1.598514339345795</v>
      </c>
      <c r="AD7" s="205">
        <f t="shared" si="2"/>
        <v>1598.514339345795</v>
      </c>
      <c r="AF7" s="304">
        <v>29</v>
      </c>
      <c r="AG7" s="113" t="s">
        <v>615</v>
      </c>
      <c r="AH7" s="205">
        <v>712.10039035927912</v>
      </c>
      <c r="AJ7" s="306">
        <v>46</v>
      </c>
      <c r="AK7" s="113" t="s">
        <v>535</v>
      </c>
      <c r="AL7" s="205">
        <v>5.9281429306855449</v>
      </c>
      <c r="AM7" s="205">
        <f t="shared" si="3"/>
        <v>5928.1429306855453</v>
      </c>
      <c r="AO7" s="305">
        <v>40</v>
      </c>
      <c r="AP7" s="113" t="s">
        <v>606</v>
      </c>
      <c r="AQ7" s="205">
        <v>96.506365824870784</v>
      </c>
      <c r="AS7" s="306">
        <v>44</v>
      </c>
      <c r="AT7" s="113" t="s">
        <v>176</v>
      </c>
      <c r="AU7" s="205">
        <v>0.63608857733140245</v>
      </c>
      <c r="AV7" s="205">
        <f t="shared" si="4"/>
        <v>636.08857733140246</v>
      </c>
      <c r="AX7" s="304">
        <v>30</v>
      </c>
      <c r="AY7" s="113" t="s">
        <v>322</v>
      </c>
      <c r="AZ7" s="205">
        <v>1.7713797589060138</v>
      </c>
      <c r="BB7" s="306">
        <v>51</v>
      </c>
      <c r="BC7" s="113" t="s">
        <v>330</v>
      </c>
      <c r="BD7" s="206">
        <v>3.6442440599363593E-3</v>
      </c>
      <c r="BE7" s="205">
        <f t="shared" si="5"/>
        <v>3.6442440599363595</v>
      </c>
      <c r="BG7" s="302">
        <v>2</v>
      </c>
      <c r="BH7" s="113" t="s">
        <v>316</v>
      </c>
      <c r="BI7" s="205">
        <v>6.1781105100388496</v>
      </c>
      <c r="BK7" s="304">
        <v>27</v>
      </c>
      <c r="BL7" s="113" t="s">
        <v>457</v>
      </c>
      <c r="BM7" s="206">
        <v>1.1197899231713774E-2</v>
      </c>
      <c r="BN7" s="205">
        <f t="shared" si="6"/>
        <v>11.197899231713773</v>
      </c>
      <c r="BP7" s="302">
        <v>2</v>
      </c>
      <c r="BQ7" s="113" t="s">
        <v>316</v>
      </c>
      <c r="BR7" s="205">
        <v>2023.9785416768918</v>
      </c>
      <c r="BT7" s="307">
        <v>55</v>
      </c>
      <c r="BU7" s="113" t="s">
        <v>50</v>
      </c>
      <c r="BV7" s="205">
        <v>5.8263608041681616</v>
      </c>
      <c r="BW7" s="205">
        <f t="shared" si="7"/>
        <v>5826.3608041681618</v>
      </c>
      <c r="BY7" s="304">
        <v>28</v>
      </c>
      <c r="BZ7" s="113" t="s">
        <v>63</v>
      </c>
      <c r="CA7" s="205">
        <v>18.462196731669632</v>
      </c>
      <c r="CC7" s="306">
        <v>46</v>
      </c>
      <c r="CD7" s="113" t="s">
        <v>535</v>
      </c>
      <c r="CE7" s="206">
        <v>3.5612937853801346E-2</v>
      </c>
      <c r="CF7" s="205">
        <f t="shared" si="8"/>
        <v>35.612937853801348</v>
      </c>
      <c r="CH7" s="303">
        <v>18</v>
      </c>
      <c r="CI7" s="113" t="s">
        <v>578</v>
      </c>
      <c r="CJ7" s="205">
        <v>2217.2380076737486</v>
      </c>
      <c r="CL7" s="303">
        <v>12</v>
      </c>
      <c r="CM7" s="113" t="s">
        <v>454</v>
      </c>
      <c r="CN7" s="206">
        <v>3.8369900221341329</v>
      </c>
      <c r="CO7" s="205">
        <f t="shared" si="9"/>
        <v>3836.9900221341327</v>
      </c>
      <c r="CQ7" s="303">
        <v>20</v>
      </c>
      <c r="CR7" s="113" t="s">
        <v>579</v>
      </c>
      <c r="CS7" s="205">
        <v>61.802890182665536</v>
      </c>
      <c r="CU7" s="302">
        <v>3</v>
      </c>
      <c r="CV7" s="113" t="s">
        <v>29</v>
      </c>
      <c r="CW7" s="206">
        <v>7.3567202201867313E-2</v>
      </c>
      <c r="CX7" s="205">
        <f t="shared" si="10"/>
        <v>73.567202201867318</v>
      </c>
      <c r="CZ7" s="307">
        <v>54</v>
      </c>
      <c r="DA7" s="113" t="s">
        <v>49</v>
      </c>
      <c r="DB7" s="205">
        <f>('nutrient content'!AA56/9)/calculations!C59</f>
        <v>13.590036176473264</v>
      </c>
      <c r="DD7" s="302">
        <v>4</v>
      </c>
      <c r="DE7" s="113" t="s">
        <v>36</v>
      </c>
      <c r="DF7" s="206">
        <v>2.650493153450546E-2</v>
      </c>
      <c r="DG7" s="205">
        <f t="shared" si="11"/>
        <v>26.504931534505459</v>
      </c>
      <c r="DI7" s="303">
        <v>6</v>
      </c>
      <c r="DJ7" s="113" t="s">
        <v>637</v>
      </c>
      <c r="DK7" s="205">
        <v>177.45341247909252</v>
      </c>
      <c r="DM7" s="303">
        <v>11</v>
      </c>
      <c r="DN7" s="113" t="s">
        <v>564</v>
      </c>
      <c r="DO7" s="206">
        <v>0.44048620794989168</v>
      </c>
      <c r="DP7" s="205">
        <f t="shared" si="12"/>
        <v>440.48620794989171</v>
      </c>
    </row>
    <row r="8" spans="1:121" s="204" customFormat="1" x14ac:dyDescent="0.2">
      <c r="A8" s="304">
        <v>33</v>
      </c>
      <c r="B8" s="308" t="s">
        <v>331</v>
      </c>
      <c r="C8" s="309">
        <v>1171.5595709975612</v>
      </c>
      <c r="E8" s="302">
        <v>5</v>
      </c>
      <c r="F8" s="113" t="s">
        <v>37</v>
      </c>
      <c r="G8" s="205">
        <v>533.91833692510409</v>
      </c>
      <c r="I8" s="302">
        <v>1</v>
      </c>
      <c r="J8" s="113" t="s">
        <v>577</v>
      </c>
      <c r="K8" s="205">
        <v>1.6006946063912939</v>
      </c>
      <c r="L8" s="205">
        <f t="shared" si="0"/>
        <v>1600.694606391294</v>
      </c>
      <c r="N8" s="306">
        <v>43</v>
      </c>
      <c r="O8" s="113" t="s">
        <v>332</v>
      </c>
      <c r="P8" s="205">
        <v>16.207303688935284</v>
      </c>
      <c r="R8" s="306">
        <v>53</v>
      </c>
      <c r="S8" s="113" t="s">
        <v>333</v>
      </c>
      <c r="T8" s="205">
        <v>4.3818519987083221E-2</v>
      </c>
      <c r="U8" s="205">
        <f t="shared" si="1"/>
        <v>43.818519987083221</v>
      </c>
      <c r="W8" s="304">
        <v>28</v>
      </c>
      <c r="X8" s="113" t="s">
        <v>63</v>
      </c>
      <c r="Y8" s="205">
        <v>651.59665536559748</v>
      </c>
      <c r="AA8" s="304">
        <v>28</v>
      </c>
      <c r="AB8" s="113" t="s">
        <v>63</v>
      </c>
      <c r="AC8" s="205">
        <v>1.4600413951167353</v>
      </c>
      <c r="AD8" s="205">
        <f t="shared" si="2"/>
        <v>1460.0413951167352</v>
      </c>
      <c r="AF8" s="302">
        <v>2</v>
      </c>
      <c r="AG8" s="113" t="s">
        <v>316</v>
      </c>
      <c r="AH8" s="205">
        <v>706.65792629337329</v>
      </c>
      <c r="AJ8" s="306">
        <v>53</v>
      </c>
      <c r="AK8" s="113" t="s">
        <v>333</v>
      </c>
      <c r="AL8" s="205">
        <v>2.5150882719176249</v>
      </c>
      <c r="AM8" s="205">
        <f t="shared" si="3"/>
        <v>2515.0882719176248</v>
      </c>
      <c r="AO8" s="306">
        <v>43</v>
      </c>
      <c r="AP8" s="113" t="s">
        <v>332</v>
      </c>
      <c r="AQ8" s="205">
        <v>91.425629248768729</v>
      </c>
      <c r="AS8" s="306">
        <v>51</v>
      </c>
      <c r="AT8" s="113" t="s">
        <v>330</v>
      </c>
      <c r="AU8" s="205">
        <v>0.61256392362288903</v>
      </c>
      <c r="AV8" s="205">
        <f t="shared" si="4"/>
        <v>612.56392362288898</v>
      </c>
      <c r="AX8" s="306">
        <v>42</v>
      </c>
      <c r="AY8" s="113" t="s">
        <v>230</v>
      </c>
      <c r="AZ8" s="205">
        <v>1.4431034638330955</v>
      </c>
      <c r="BB8" s="306">
        <v>47</v>
      </c>
      <c r="BC8" s="113" t="s">
        <v>603</v>
      </c>
      <c r="BD8" s="206">
        <v>3.4368663371931057E-3</v>
      </c>
      <c r="BE8" s="205">
        <f t="shared" si="5"/>
        <v>3.4368663371931056</v>
      </c>
      <c r="BG8" s="303">
        <v>6</v>
      </c>
      <c r="BH8" s="113" t="s">
        <v>637</v>
      </c>
      <c r="BI8" s="205">
        <v>5.2444134991461855</v>
      </c>
      <c r="BK8" s="303">
        <v>10</v>
      </c>
      <c r="BL8" s="113" t="s">
        <v>642</v>
      </c>
      <c r="BM8" s="206">
        <v>1.0710379481074738E-2</v>
      </c>
      <c r="BN8" s="205">
        <f t="shared" si="6"/>
        <v>10.710379481074739</v>
      </c>
      <c r="BP8" s="306">
        <v>47</v>
      </c>
      <c r="BQ8" s="113" t="s">
        <v>603</v>
      </c>
      <c r="BR8" s="205">
        <v>1660.7118269992063</v>
      </c>
      <c r="BT8" s="306">
        <v>44</v>
      </c>
      <c r="BU8" s="113" t="s">
        <v>176</v>
      </c>
      <c r="BV8" s="205">
        <v>4.6318658545624531</v>
      </c>
      <c r="BW8" s="205">
        <f t="shared" si="7"/>
        <v>4631.865854562453</v>
      </c>
      <c r="BY8" s="304">
        <v>25</v>
      </c>
      <c r="BZ8" s="113" t="s">
        <v>602</v>
      </c>
      <c r="CA8" s="205">
        <v>14.936877573663441</v>
      </c>
      <c r="CC8" s="306">
        <v>44</v>
      </c>
      <c r="CD8" s="113" t="s">
        <v>176</v>
      </c>
      <c r="CE8" s="206">
        <v>2.2779487422540236E-2</v>
      </c>
      <c r="CF8" s="205">
        <f t="shared" si="8"/>
        <v>22.779487422540235</v>
      </c>
      <c r="CH8" s="304">
        <v>25</v>
      </c>
      <c r="CI8" s="113" t="s">
        <v>602</v>
      </c>
      <c r="CJ8" s="205">
        <v>2147.9255277860516</v>
      </c>
      <c r="CL8" s="306">
        <v>51</v>
      </c>
      <c r="CM8" s="113" t="s">
        <v>330</v>
      </c>
      <c r="CN8" s="206">
        <v>3.3783027949989424</v>
      </c>
      <c r="CO8" s="205">
        <f t="shared" si="9"/>
        <v>3378.3027949989423</v>
      </c>
      <c r="CQ8" s="303">
        <v>18</v>
      </c>
      <c r="CR8" s="113" t="s">
        <v>578</v>
      </c>
      <c r="CS8" s="205">
        <v>61.171007488324278</v>
      </c>
      <c r="CU8" s="303">
        <v>20</v>
      </c>
      <c r="CV8" s="113" t="s">
        <v>579</v>
      </c>
      <c r="CW8" s="206">
        <v>7.3002848755256297E-2</v>
      </c>
      <c r="CX8" s="205">
        <f t="shared" si="10"/>
        <v>73.002848755256295</v>
      </c>
      <c r="CZ8" s="303">
        <v>20</v>
      </c>
      <c r="DA8" s="113" t="s">
        <v>579</v>
      </c>
      <c r="DB8" s="205">
        <f>('nutrient content'!AA22/9)/calculations!C25</f>
        <v>12.994794154995551</v>
      </c>
      <c r="DD8" s="303">
        <v>6</v>
      </c>
      <c r="DE8" s="113" t="s">
        <v>637</v>
      </c>
      <c r="DF8" s="206">
        <v>2.6447349315875911E-2</v>
      </c>
      <c r="DG8" s="205">
        <f t="shared" si="11"/>
        <v>26.447349315875911</v>
      </c>
      <c r="DI8" s="303">
        <v>8</v>
      </c>
      <c r="DJ8" s="113" t="s">
        <v>639</v>
      </c>
      <c r="DK8" s="205">
        <v>163.51293256385986</v>
      </c>
      <c r="DM8" s="303">
        <v>8</v>
      </c>
      <c r="DN8" s="113" t="s">
        <v>639</v>
      </c>
      <c r="DO8" s="206">
        <v>0.42063759182287597</v>
      </c>
      <c r="DP8" s="205">
        <f t="shared" si="12"/>
        <v>420.63759182287595</v>
      </c>
    </row>
    <row r="9" spans="1:121" s="204" customFormat="1" x14ac:dyDescent="0.2">
      <c r="A9" s="306">
        <v>42</v>
      </c>
      <c r="B9" s="308" t="s">
        <v>230</v>
      </c>
      <c r="C9" s="309">
        <v>1155.0966409720484</v>
      </c>
      <c r="E9" s="302">
        <v>4</v>
      </c>
      <c r="F9" s="113" t="s">
        <v>36</v>
      </c>
      <c r="G9" s="205">
        <v>510.72989719181743</v>
      </c>
      <c r="I9" s="302">
        <v>5</v>
      </c>
      <c r="J9" s="113" t="s">
        <v>37</v>
      </c>
      <c r="K9" s="205">
        <v>1.1594495992264415</v>
      </c>
      <c r="L9" s="205">
        <f t="shared" si="0"/>
        <v>1159.4495992264415</v>
      </c>
      <c r="N9" s="304">
        <v>34</v>
      </c>
      <c r="O9" s="113" t="s">
        <v>604</v>
      </c>
      <c r="P9" s="205">
        <v>14.639318598913166</v>
      </c>
      <c r="R9" s="306">
        <v>50</v>
      </c>
      <c r="S9" s="113" t="s">
        <v>423</v>
      </c>
      <c r="T9" s="205">
        <v>3.7077128213206086E-2</v>
      </c>
      <c r="U9" s="205">
        <f t="shared" si="1"/>
        <v>37.077128213206088</v>
      </c>
      <c r="W9" s="303">
        <v>23</v>
      </c>
      <c r="X9" s="113" t="s">
        <v>581</v>
      </c>
      <c r="Y9" s="205">
        <v>477.2479534677957</v>
      </c>
      <c r="AA9" s="306">
        <v>50</v>
      </c>
      <c r="AB9" s="113" t="s">
        <v>423</v>
      </c>
      <c r="AC9" s="205">
        <v>0.87403871997476146</v>
      </c>
      <c r="AD9" s="205">
        <f t="shared" si="2"/>
        <v>874.03871997476142</v>
      </c>
      <c r="AF9" s="304">
        <v>27</v>
      </c>
      <c r="AG9" s="113" t="s">
        <v>457</v>
      </c>
      <c r="AH9" s="205">
        <v>680.34472376013309</v>
      </c>
      <c r="AJ9" s="306">
        <v>51</v>
      </c>
      <c r="AK9" s="113" t="s">
        <v>330</v>
      </c>
      <c r="AL9" s="205">
        <v>1.8112458357448851</v>
      </c>
      <c r="AM9" s="205">
        <f t="shared" si="3"/>
        <v>1811.245835744885</v>
      </c>
      <c r="AO9" s="306">
        <v>49</v>
      </c>
      <c r="AP9" s="113" t="s">
        <v>48</v>
      </c>
      <c r="AQ9" s="205">
        <v>87.703913612045369</v>
      </c>
      <c r="AS9" s="307">
        <v>57</v>
      </c>
      <c r="AT9" s="113" t="s">
        <v>641</v>
      </c>
      <c r="AU9" s="205">
        <v>0.35389804410621134</v>
      </c>
      <c r="AV9" s="205">
        <f t="shared" si="4"/>
        <v>353.89804410621133</v>
      </c>
      <c r="AX9" s="304">
        <v>28</v>
      </c>
      <c r="AY9" s="113" t="s">
        <v>63</v>
      </c>
      <c r="AZ9" s="205">
        <v>1.2851661382753403</v>
      </c>
      <c r="BB9" s="306">
        <v>44</v>
      </c>
      <c r="BC9" s="113" t="s">
        <v>176</v>
      </c>
      <c r="BD9" s="206">
        <v>3.150369742973664E-3</v>
      </c>
      <c r="BE9" s="205">
        <f t="shared" si="5"/>
        <v>3.1503697429736639</v>
      </c>
      <c r="BG9" s="302">
        <v>1</v>
      </c>
      <c r="BH9" s="113" t="s">
        <v>577</v>
      </c>
      <c r="BI9" s="205">
        <v>4.6237599501084441</v>
      </c>
      <c r="BK9" s="304">
        <v>29</v>
      </c>
      <c r="BL9" s="113" t="s">
        <v>615</v>
      </c>
      <c r="BM9" s="206">
        <v>9.9432814554858279E-3</v>
      </c>
      <c r="BN9" s="205">
        <f t="shared" si="6"/>
        <v>9.9432814554858275</v>
      </c>
      <c r="BP9" s="302">
        <v>1</v>
      </c>
      <c r="BQ9" s="113" t="s">
        <v>577</v>
      </c>
      <c r="BR9" s="205">
        <v>1597.6721132553052</v>
      </c>
      <c r="BT9" s="306">
        <v>50</v>
      </c>
      <c r="BU9" s="113" t="s">
        <v>423</v>
      </c>
      <c r="BV9" s="205">
        <v>4.5280580297843853</v>
      </c>
      <c r="BW9" s="205">
        <f t="shared" si="7"/>
        <v>4528.0580297843853</v>
      </c>
      <c r="BY9" s="304">
        <v>26</v>
      </c>
      <c r="BZ9" s="113" t="s">
        <v>329</v>
      </c>
      <c r="CA9" s="205">
        <v>13.687155291417172</v>
      </c>
      <c r="CC9" s="306">
        <v>51</v>
      </c>
      <c r="CD9" s="113" t="s">
        <v>330</v>
      </c>
      <c r="CE9" s="206">
        <v>1.5729471054327541E-2</v>
      </c>
      <c r="CF9" s="205">
        <f t="shared" si="8"/>
        <v>15.72947105432754</v>
      </c>
      <c r="CH9" s="304">
        <v>37</v>
      </c>
      <c r="CI9" s="113" t="s">
        <v>455</v>
      </c>
      <c r="CJ9" s="205">
        <v>2054.5424523923998</v>
      </c>
      <c r="CL9" s="307">
        <v>54</v>
      </c>
      <c r="CM9" s="113" t="s">
        <v>49</v>
      </c>
      <c r="CN9" s="206">
        <v>3.3097115187100865</v>
      </c>
      <c r="CO9" s="205">
        <f t="shared" si="9"/>
        <v>3309.7115187100867</v>
      </c>
      <c r="CQ9" s="304">
        <v>33</v>
      </c>
      <c r="CR9" s="113" t="s">
        <v>331</v>
      </c>
      <c r="CS9" s="205">
        <v>49.749063581123323</v>
      </c>
      <c r="CU9" s="303">
        <v>6</v>
      </c>
      <c r="CV9" s="113" t="s">
        <v>637</v>
      </c>
      <c r="CW9" s="206">
        <v>6.8037307336298147E-2</v>
      </c>
      <c r="CX9" s="205">
        <f t="shared" si="10"/>
        <v>68.037307336298142</v>
      </c>
      <c r="CZ9" s="302">
        <v>4</v>
      </c>
      <c r="DA9" s="113" t="s">
        <v>36</v>
      </c>
      <c r="DB9" s="205">
        <f>('nutrient content'!AA6/9)/calculations!C9</f>
        <v>9.1318396086055103</v>
      </c>
      <c r="DD9" s="303">
        <v>7</v>
      </c>
      <c r="DE9" s="113" t="s">
        <v>638</v>
      </c>
      <c r="DF9" s="206">
        <v>2.3882612859084804E-2</v>
      </c>
      <c r="DG9" s="205">
        <f t="shared" si="11"/>
        <v>23.882612859084805</v>
      </c>
      <c r="DI9" s="303">
        <v>10</v>
      </c>
      <c r="DJ9" s="113" t="s">
        <v>642</v>
      </c>
      <c r="DK9" s="205">
        <v>147.60841328991322</v>
      </c>
      <c r="DM9" s="303">
        <v>9</v>
      </c>
      <c r="DN9" s="113" t="s">
        <v>640</v>
      </c>
      <c r="DO9" s="206">
        <v>0.39603480707350847</v>
      </c>
      <c r="DP9" s="205">
        <f t="shared" si="12"/>
        <v>396.03480707350849</v>
      </c>
    </row>
    <row r="10" spans="1:121" s="204" customFormat="1" x14ac:dyDescent="0.2">
      <c r="A10" s="306">
        <v>43</v>
      </c>
      <c r="B10" s="308" t="s">
        <v>332</v>
      </c>
      <c r="C10" s="309">
        <v>1028.4341465195364</v>
      </c>
      <c r="E10" s="304">
        <v>36</v>
      </c>
      <c r="F10" s="113" t="s">
        <v>582</v>
      </c>
      <c r="G10" s="205">
        <v>413.94690213046704</v>
      </c>
      <c r="I10" s="302">
        <v>4</v>
      </c>
      <c r="J10" s="113" t="s">
        <v>36</v>
      </c>
      <c r="K10" s="205">
        <v>0.88072678945241134</v>
      </c>
      <c r="L10" s="205">
        <f t="shared" si="0"/>
        <v>880.72678945241137</v>
      </c>
      <c r="N10" s="306">
        <v>47</v>
      </c>
      <c r="O10" s="113" t="s">
        <v>603</v>
      </c>
      <c r="P10" s="205">
        <v>14.563883463141851</v>
      </c>
      <c r="R10" s="303">
        <v>23</v>
      </c>
      <c r="S10" s="113" t="s">
        <v>581</v>
      </c>
      <c r="T10" s="205">
        <v>3.6009862693136149E-2</v>
      </c>
      <c r="U10" s="205">
        <f t="shared" si="1"/>
        <v>36.009862693136149</v>
      </c>
      <c r="W10" s="304">
        <v>25</v>
      </c>
      <c r="X10" s="113" t="s">
        <v>602</v>
      </c>
      <c r="Y10" s="205">
        <v>437.17980937130625</v>
      </c>
      <c r="AA10" s="304">
        <v>31</v>
      </c>
      <c r="AB10" s="113" t="s">
        <v>315</v>
      </c>
      <c r="AC10" s="205">
        <v>0.71193119027167306</v>
      </c>
      <c r="AD10" s="205">
        <f t="shared" si="2"/>
        <v>711.93119027167302</v>
      </c>
      <c r="AF10" s="303">
        <v>20</v>
      </c>
      <c r="AG10" s="113" t="s">
        <v>579</v>
      </c>
      <c r="AH10" s="205">
        <v>655.75183991352174</v>
      </c>
      <c r="AJ10" s="305">
        <v>39</v>
      </c>
      <c r="AK10" s="113" t="s">
        <v>583</v>
      </c>
      <c r="AL10" s="205">
        <v>1.2549880539252496</v>
      </c>
      <c r="AM10" s="205">
        <f t="shared" si="3"/>
        <v>1254.9880539252497</v>
      </c>
      <c r="AO10" s="306">
        <v>44</v>
      </c>
      <c r="AP10" s="113" t="s">
        <v>176</v>
      </c>
      <c r="AQ10" s="205">
        <v>79.081734678997634</v>
      </c>
      <c r="AS10" s="306">
        <v>50</v>
      </c>
      <c r="AT10" s="113" t="s">
        <v>423</v>
      </c>
      <c r="AU10" s="205">
        <v>0.27246492543176387</v>
      </c>
      <c r="AV10" s="205">
        <f t="shared" si="4"/>
        <v>272.46492543176385</v>
      </c>
      <c r="AX10" s="304">
        <v>25</v>
      </c>
      <c r="AY10" s="113" t="s">
        <v>602</v>
      </c>
      <c r="AZ10" s="205">
        <v>1.1211702682071902</v>
      </c>
      <c r="BB10" s="304">
        <v>28</v>
      </c>
      <c r="BC10" s="113" t="s">
        <v>63</v>
      </c>
      <c r="BD10" s="206">
        <v>2.879689062294999E-3</v>
      </c>
      <c r="BE10" s="205">
        <f t="shared" si="5"/>
        <v>2.8796890622949989</v>
      </c>
      <c r="BG10" s="303">
        <v>20</v>
      </c>
      <c r="BH10" s="113" t="s">
        <v>579</v>
      </c>
      <c r="BI10" s="205">
        <v>4.6231986718986784</v>
      </c>
      <c r="BK10" s="303">
        <v>9</v>
      </c>
      <c r="BL10" s="113" t="s">
        <v>640</v>
      </c>
      <c r="BM10" s="206">
        <v>9.9085832505920318E-3</v>
      </c>
      <c r="BN10" s="205">
        <f t="shared" si="6"/>
        <v>9.9085832505920326</v>
      </c>
      <c r="BP10" s="306">
        <v>49</v>
      </c>
      <c r="BQ10" s="113" t="s">
        <v>48</v>
      </c>
      <c r="BR10" s="205">
        <v>1567.7575017638351</v>
      </c>
      <c r="BT10" s="305">
        <v>39</v>
      </c>
      <c r="BU10" s="113" t="s">
        <v>583</v>
      </c>
      <c r="BV10" s="205">
        <v>4.4554382937452388</v>
      </c>
      <c r="BW10" s="205">
        <f t="shared" si="7"/>
        <v>4455.4382937452392</v>
      </c>
      <c r="BY10" s="303">
        <v>23</v>
      </c>
      <c r="BZ10" s="113" t="s">
        <v>581</v>
      </c>
      <c r="CA10" s="205">
        <v>11.999265222427097</v>
      </c>
      <c r="CC10" s="306">
        <v>53</v>
      </c>
      <c r="CD10" s="113" t="s">
        <v>333</v>
      </c>
      <c r="CE10" s="206">
        <v>1.4244648246884395E-2</v>
      </c>
      <c r="CF10" s="205">
        <f t="shared" si="8"/>
        <v>14.244648246884395</v>
      </c>
      <c r="CH10" s="303">
        <v>8</v>
      </c>
      <c r="CI10" s="113" t="s">
        <v>639</v>
      </c>
      <c r="CJ10" s="205">
        <v>1951.8208661657584</v>
      </c>
      <c r="CL10" s="303">
        <v>13</v>
      </c>
      <c r="CM10" s="113" t="s">
        <v>565</v>
      </c>
      <c r="CN10" s="206">
        <v>3.2378472241757712</v>
      </c>
      <c r="CO10" s="205">
        <f t="shared" si="9"/>
        <v>3237.8472241757713</v>
      </c>
      <c r="CQ10" s="302">
        <v>1</v>
      </c>
      <c r="CR10" s="113" t="s">
        <v>577</v>
      </c>
      <c r="CS10" s="205">
        <v>44.438104545688326</v>
      </c>
      <c r="CU10" s="306">
        <v>52</v>
      </c>
      <c r="CV10" s="113" t="s">
        <v>422</v>
      </c>
      <c r="CW10" s="206">
        <v>6.718044937610973E-2</v>
      </c>
      <c r="CX10" s="205">
        <f t="shared" si="10"/>
        <v>67.180449376109735</v>
      </c>
      <c r="CZ10" s="306">
        <v>42</v>
      </c>
      <c r="DA10" s="113" t="s">
        <v>230</v>
      </c>
      <c r="DB10" s="205">
        <f>('nutrient content'!AA44/9)/calculations!C47</f>
        <v>10.3863991584383</v>
      </c>
      <c r="DD10" s="303">
        <v>20</v>
      </c>
      <c r="DE10" s="113" t="s">
        <v>579</v>
      </c>
      <c r="DF10" s="206">
        <v>2.2571641957532071E-2</v>
      </c>
      <c r="DG10" s="205">
        <f t="shared" si="11"/>
        <v>22.571641957532069</v>
      </c>
      <c r="DI10" s="303">
        <v>18</v>
      </c>
      <c r="DJ10" s="113" t="s">
        <v>578</v>
      </c>
      <c r="DK10" s="205">
        <v>144.53527449355857</v>
      </c>
      <c r="DM10" s="303">
        <v>14</v>
      </c>
      <c r="DN10" s="113" t="s">
        <v>456</v>
      </c>
      <c r="DO10" s="206">
        <v>0.37852582435856003</v>
      </c>
      <c r="DP10" s="205">
        <f t="shared" si="12"/>
        <v>378.52582435856004</v>
      </c>
    </row>
    <row r="11" spans="1:121" s="204" customFormat="1" x14ac:dyDescent="0.2">
      <c r="A11" s="307">
        <v>54</v>
      </c>
      <c r="B11" s="308" t="s">
        <v>49</v>
      </c>
      <c r="C11" s="309">
        <v>999.78349436271344</v>
      </c>
      <c r="E11" s="303">
        <v>20</v>
      </c>
      <c r="F11" s="113" t="s">
        <v>579</v>
      </c>
      <c r="G11" s="205">
        <v>346.12998209943061</v>
      </c>
      <c r="I11" s="306">
        <v>47</v>
      </c>
      <c r="J11" s="113" t="s">
        <v>603</v>
      </c>
      <c r="K11" s="205">
        <v>0.67556319504016915</v>
      </c>
      <c r="L11" s="205">
        <f t="shared" si="0"/>
        <v>675.56319504016915</v>
      </c>
      <c r="N11" s="304">
        <v>29</v>
      </c>
      <c r="O11" s="113" t="s">
        <v>615</v>
      </c>
      <c r="P11" s="205">
        <v>13.732603952084611</v>
      </c>
      <c r="R11" s="305">
        <v>39</v>
      </c>
      <c r="S11" s="113" t="s">
        <v>583</v>
      </c>
      <c r="T11" s="205">
        <v>3.2078942704563754E-2</v>
      </c>
      <c r="U11" s="205">
        <f t="shared" si="1"/>
        <v>32.078942704563751</v>
      </c>
      <c r="W11" s="304">
        <v>37</v>
      </c>
      <c r="X11" s="113" t="s">
        <v>455</v>
      </c>
      <c r="Y11" s="205">
        <v>377.02133918185638</v>
      </c>
      <c r="AA11" s="306">
        <v>51</v>
      </c>
      <c r="AB11" s="113" t="s">
        <v>330</v>
      </c>
      <c r="AC11" s="205">
        <v>0.68148546071117411</v>
      </c>
      <c r="AD11" s="205">
        <f t="shared" si="2"/>
        <v>681.48546071117414</v>
      </c>
      <c r="AF11" s="306">
        <v>53</v>
      </c>
      <c r="AG11" s="113" t="s">
        <v>333</v>
      </c>
      <c r="AH11" s="205">
        <v>565.71430588689918</v>
      </c>
      <c r="AJ11" s="306">
        <v>52</v>
      </c>
      <c r="AK11" s="113" t="s">
        <v>422</v>
      </c>
      <c r="AL11" s="205">
        <v>1.1850363772788601</v>
      </c>
      <c r="AM11" s="205">
        <f t="shared" si="3"/>
        <v>1185.0363772788601</v>
      </c>
      <c r="AO11" s="306">
        <v>52</v>
      </c>
      <c r="AP11" s="113" t="s">
        <v>422</v>
      </c>
      <c r="AQ11" s="205">
        <v>64.263832547203151</v>
      </c>
      <c r="AS11" s="305">
        <v>40</v>
      </c>
      <c r="AT11" s="113" t="s">
        <v>606</v>
      </c>
      <c r="AU11" s="205">
        <v>0.24890338685412897</v>
      </c>
      <c r="AV11" s="205">
        <f t="shared" si="4"/>
        <v>248.90338685412897</v>
      </c>
      <c r="AX11" s="304">
        <v>31</v>
      </c>
      <c r="AY11" s="113" t="s">
        <v>315</v>
      </c>
      <c r="AZ11" s="205">
        <v>1.0571373245515736</v>
      </c>
      <c r="BB11" s="306">
        <v>43</v>
      </c>
      <c r="BC11" s="113" t="s">
        <v>332</v>
      </c>
      <c r="BD11" s="206">
        <v>2.3516965614492559E-3</v>
      </c>
      <c r="BE11" s="205">
        <f t="shared" si="5"/>
        <v>2.351696561449256</v>
      </c>
      <c r="BG11" s="303">
        <v>8</v>
      </c>
      <c r="BH11" s="113" t="s">
        <v>639</v>
      </c>
      <c r="BI11" s="205">
        <v>4.4267808783813436</v>
      </c>
      <c r="BK11" s="302">
        <v>2</v>
      </c>
      <c r="BL11" s="113" t="s">
        <v>316</v>
      </c>
      <c r="BM11" s="206">
        <v>9.8273093601320607E-3</v>
      </c>
      <c r="BN11" s="205">
        <f t="shared" si="6"/>
        <v>9.8273093601320607</v>
      </c>
      <c r="BP11" s="306">
        <v>45</v>
      </c>
      <c r="BQ11" s="113" t="s">
        <v>448</v>
      </c>
      <c r="BR11" s="205">
        <v>1447.885667548202</v>
      </c>
      <c r="BT11" s="306">
        <v>49</v>
      </c>
      <c r="BU11" s="113" t="s">
        <v>48</v>
      </c>
      <c r="BV11" s="205">
        <v>4.3207231998569799</v>
      </c>
      <c r="BW11" s="205">
        <f t="shared" si="7"/>
        <v>4320.7231998569796</v>
      </c>
      <c r="BY11" s="304">
        <v>37</v>
      </c>
      <c r="BZ11" s="113" t="s">
        <v>455</v>
      </c>
      <c r="CA11" s="205">
        <v>8.3891797997005355</v>
      </c>
      <c r="CC11" s="306">
        <v>50</v>
      </c>
      <c r="CD11" s="113" t="s">
        <v>423</v>
      </c>
      <c r="CE11" s="206">
        <v>1.4107160964663351E-2</v>
      </c>
      <c r="CF11" s="205">
        <f t="shared" si="8"/>
        <v>14.107160964663352</v>
      </c>
      <c r="CH11" s="303">
        <v>19</v>
      </c>
      <c r="CI11" s="113" t="s">
        <v>555</v>
      </c>
      <c r="CJ11" s="205">
        <v>1752.8893736079453</v>
      </c>
      <c r="CL11" s="303">
        <v>18</v>
      </c>
      <c r="CM11" s="113" t="s">
        <v>578</v>
      </c>
      <c r="CN11" s="206">
        <v>3.1205788993047525</v>
      </c>
      <c r="CO11" s="205">
        <f t="shared" si="9"/>
        <v>3120.5788993047527</v>
      </c>
      <c r="CQ11" s="304">
        <v>35</v>
      </c>
      <c r="CR11" s="113" t="s">
        <v>563</v>
      </c>
      <c r="CS11" s="205">
        <v>43.303295396450942</v>
      </c>
      <c r="CU11" s="303">
        <v>7</v>
      </c>
      <c r="CV11" s="113" t="s">
        <v>638</v>
      </c>
      <c r="CW11" s="206">
        <v>6.5492442603797663E-2</v>
      </c>
      <c r="CX11" s="205">
        <f t="shared" si="10"/>
        <v>65.492442603797656</v>
      </c>
      <c r="CZ11" s="303">
        <v>6</v>
      </c>
      <c r="DA11" s="113" t="s">
        <v>637</v>
      </c>
      <c r="DB11" s="205">
        <f>('nutrient content'!AA8/9)/calculations!C11</f>
        <v>10.458223456358324</v>
      </c>
      <c r="DD11" s="307">
        <v>54</v>
      </c>
      <c r="DE11" s="113" t="s">
        <v>49</v>
      </c>
      <c r="DF11" s="206">
        <v>2.0041192973133351E-2</v>
      </c>
      <c r="DG11" s="205">
        <f t="shared" si="11"/>
        <v>20.041192973133352</v>
      </c>
      <c r="DI11" s="303">
        <v>15</v>
      </c>
      <c r="DJ11" s="113" t="s">
        <v>458</v>
      </c>
      <c r="DK11" s="205">
        <v>140.08303955721178</v>
      </c>
      <c r="DM11" s="303">
        <v>10</v>
      </c>
      <c r="DN11" s="113" t="s">
        <v>642</v>
      </c>
      <c r="DO11" s="206">
        <v>0.37844108098790008</v>
      </c>
      <c r="DP11" s="205">
        <f t="shared" si="12"/>
        <v>378.44108098790008</v>
      </c>
    </row>
    <row r="12" spans="1:121" s="204" customFormat="1" x14ac:dyDescent="0.2">
      <c r="A12" s="303">
        <v>24</v>
      </c>
      <c r="B12" s="308" t="s">
        <v>15</v>
      </c>
      <c r="C12" s="309">
        <v>991.11468068613488</v>
      </c>
      <c r="E12" s="304">
        <v>29</v>
      </c>
      <c r="F12" s="113" t="s">
        <v>615</v>
      </c>
      <c r="G12" s="205">
        <v>339.63044724080811</v>
      </c>
      <c r="I12" s="304">
        <v>28</v>
      </c>
      <c r="J12" s="113" t="s">
        <v>63</v>
      </c>
      <c r="K12" s="205">
        <v>0.63729060280764849</v>
      </c>
      <c r="L12" s="205">
        <f t="shared" si="0"/>
        <v>637.2906028076485</v>
      </c>
      <c r="N12" s="304">
        <v>26</v>
      </c>
      <c r="O12" s="113" t="s">
        <v>329</v>
      </c>
      <c r="P12" s="205">
        <v>13.436299341516392</v>
      </c>
      <c r="R12" s="305">
        <v>41</v>
      </c>
      <c r="S12" s="113" t="s">
        <v>584</v>
      </c>
      <c r="T12" s="205">
        <v>3.0815075328574536E-2</v>
      </c>
      <c r="U12" s="205">
        <f t="shared" si="1"/>
        <v>30.815075328574537</v>
      </c>
      <c r="W12" s="304">
        <v>33</v>
      </c>
      <c r="X12" s="113" t="s">
        <v>331</v>
      </c>
      <c r="Y12" s="205">
        <v>239.82603079497767</v>
      </c>
      <c r="AA12" s="304">
        <v>26</v>
      </c>
      <c r="AB12" s="113" t="s">
        <v>329</v>
      </c>
      <c r="AC12" s="205">
        <v>0.53398729945717083</v>
      </c>
      <c r="AD12" s="205">
        <f t="shared" si="2"/>
        <v>533.98729945717082</v>
      </c>
      <c r="AF12" s="306">
        <v>52</v>
      </c>
      <c r="AG12" s="113" t="s">
        <v>422</v>
      </c>
      <c r="AH12" s="205">
        <v>512.42366399499485</v>
      </c>
      <c r="AJ12" s="303">
        <v>16</v>
      </c>
      <c r="AK12" s="113" t="s">
        <v>553</v>
      </c>
      <c r="AL12" s="205">
        <v>1.1681515113396701</v>
      </c>
      <c r="AM12" s="205">
        <f t="shared" si="3"/>
        <v>1168.1515113396702</v>
      </c>
      <c r="AO12" s="306">
        <v>42</v>
      </c>
      <c r="AP12" s="113" t="s">
        <v>230</v>
      </c>
      <c r="AQ12" s="205">
        <v>54.116810778775026</v>
      </c>
      <c r="AS12" s="306">
        <v>49</v>
      </c>
      <c r="AT12" s="113" t="s">
        <v>48</v>
      </c>
      <c r="AU12" s="205">
        <v>0.24171106426566505</v>
      </c>
      <c r="AV12" s="205">
        <f t="shared" si="4"/>
        <v>241.71106426566504</v>
      </c>
      <c r="AX12" s="303">
        <v>23</v>
      </c>
      <c r="AY12" s="113" t="s">
        <v>581</v>
      </c>
      <c r="AZ12" s="205">
        <v>0.90600607308483772</v>
      </c>
      <c r="BB12" s="303">
        <v>8</v>
      </c>
      <c r="BC12" s="113" t="s">
        <v>639</v>
      </c>
      <c r="BD12" s="206">
        <v>2.1409266364603276E-3</v>
      </c>
      <c r="BE12" s="205">
        <f t="shared" si="5"/>
        <v>2.1409266364603274</v>
      </c>
      <c r="BG12" s="303">
        <v>10</v>
      </c>
      <c r="BH12" s="113" t="s">
        <v>642</v>
      </c>
      <c r="BI12" s="205">
        <v>4.1775119043823725</v>
      </c>
      <c r="BK12" s="303">
        <v>6</v>
      </c>
      <c r="BL12" s="113" t="s">
        <v>637</v>
      </c>
      <c r="BM12" s="206">
        <v>9.490682868699165E-3</v>
      </c>
      <c r="BN12" s="205">
        <f t="shared" si="6"/>
        <v>9.4906828686991656</v>
      </c>
      <c r="BP12" s="304">
        <v>25</v>
      </c>
      <c r="BQ12" s="113" t="s">
        <v>602</v>
      </c>
      <c r="BR12" s="205">
        <v>1389.4870276569875</v>
      </c>
      <c r="BT12" s="305">
        <v>38</v>
      </c>
      <c r="BU12" s="113" t="s">
        <v>605</v>
      </c>
      <c r="BV12" s="205">
        <v>4.1312717023180348</v>
      </c>
      <c r="BW12" s="205">
        <f t="shared" si="7"/>
        <v>4131.2717023180348</v>
      </c>
      <c r="BY12" s="303">
        <v>20</v>
      </c>
      <c r="BZ12" s="113" t="s">
        <v>579</v>
      </c>
      <c r="CA12" s="205">
        <v>7.2438958714045141</v>
      </c>
      <c r="CC12" s="303">
        <v>13</v>
      </c>
      <c r="CD12" s="113" t="s">
        <v>565</v>
      </c>
      <c r="CE12" s="206">
        <v>1.3029186923670217E-2</v>
      </c>
      <c r="CF12" s="205">
        <f t="shared" si="8"/>
        <v>13.029186923670217</v>
      </c>
      <c r="CH12" s="304">
        <v>35</v>
      </c>
      <c r="CI12" s="113" t="s">
        <v>563</v>
      </c>
      <c r="CJ12" s="205">
        <v>1652.7530529067803</v>
      </c>
      <c r="CL12" s="302">
        <v>3</v>
      </c>
      <c r="CM12" s="113" t="s">
        <v>29</v>
      </c>
      <c r="CN12" s="206">
        <v>2.9828691242179102</v>
      </c>
      <c r="CO12" s="205">
        <f t="shared" si="9"/>
        <v>2982.8691242179102</v>
      </c>
      <c r="CQ12" s="303">
        <v>14</v>
      </c>
      <c r="CR12" s="113" t="s">
        <v>456</v>
      </c>
      <c r="CS12" s="205">
        <v>41.771143897701975</v>
      </c>
      <c r="CU12" s="302">
        <v>1</v>
      </c>
      <c r="CV12" s="113" t="s">
        <v>577</v>
      </c>
      <c r="CW12" s="206">
        <v>5.8775691319363291E-2</v>
      </c>
      <c r="CX12" s="205">
        <f t="shared" si="10"/>
        <v>58.77569131936329</v>
      </c>
      <c r="CZ12" s="303">
        <v>24</v>
      </c>
      <c r="DA12" s="113" t="s">
        <v>15</v>
      </c>
      <c r="DB12" s="205">
        <f>('nutrient content'!AA26/9)/calculations!C29</f>
        <v>8.151931669166709</v>
      </c>
      <c r="DD12" s="302">
        <v>2</v>
      </c>
      <c r="DE12" s="113" t="s">
        <v>316</v>
      </c>
      <c r="DF12" s="206">
        <v>1.9150587980946793E-2</v>
      </c>
      <c r="DG12" s="205">
        <f t="shared" si="11"/>
        <v>19.150587980946792</v>
      </c>
      <c r="DI12" s="302">
        <v>1</v>
      </c>
      <c r="DJ12" s="113" t="s">
        <v>577</v>
      </c>
      <c r="DK12" s="205">
        <v>125.32956395354782</v>
      </c>
      <c r="DM12" s="303">
        <v>17</v>
      </c>
      <c r="DN12" s="113" t="s">
        <v>554</v>
      </c>
      <c r="DO12" s="206">
        <v>0.33196497101090366</v>
      </c>
      <c r="DP12" s="205">
        <f t="shared" si="12"/>
        <v>331.96497101090364</v>
      </c>
    </row>
    <row r="13" spans="1:121" s="204" customFormat="1" x14ac:dyDescent="0.2">
      <c r="A13" s="303">
        <v>23</v>
      </c>
      <c r="B13" s="308" t="s">
        <v>581</v>
      </c>
      <c r="C13" s="309">
        <v>932.40410810751769</v>
      </c>
      <c r="E13" s="304">
        <v>25</v>
      </c>
      <c r="F13" s="113" t="s">
        <v>602</v>
      </c>
      <c r="G13" s="205">
        <v>320.6674085604767</v>
      </c>
      <c r="I13" s="307">
        <v>57</v>
      </c>
      <c r="J13" s="113" t="s">
        <v>641</v>
      </c>
      <c r="K13" s="205">
        <v>0.61932389031528023</v>
      </c>
      <c r="L13" s="205">
        <f t="shared" si="0"/>
        <v>619.32389031528021</v>
      </c>
      <c r="N13" s="306">
        <v>42</v>
      </c>
      <c r="O13" s="113" t="s">
        <v>230</v>
      </c>
      <c r="P13" s="205">
        <v>11.939451398816935</v>
      </c>
      <c r="R13" s="306">
        <v>48</v>
      </c>
      <c r="S13" s="113" t="s">
        <v>155</v>
      </c>
      <c r="T13" s="205">
        <v>3.0715224389458159E-2</v>
      </c>
      <c r="U13" s="205">
        <f t="shared" si="1"/>
        <v>30.715224389458161</v>
      </c>
      <c r="W13" s="306">
        <v>44</v>
      </c>
      <c r="X13" s="113" t="s">
        <v>176</v>
      </c>
      <c r="Y13" s="205">
        <v>232.91703807503643</v>
      </c>
      <c r="AA13" s="305">
        <v>38</v>
      </c>
      <c r="AB13" s="113" t="s">
        <v>605</v>
      </c>
      <c r="AC13" s="205">
        <v>0.51711138682381952</v>
      </c>
      <c r="AD13" s="205">
        <f t="shared" si="2"/>
        <v>517.11138682381954</v>
      </c>
      <c r="AF13" s="303">
        <v>16</v>
      </c>
      <c r="AG13" s="113" t="s">
        <v>553</v>
      </c>
      <c r="AH13" s="205">
        <v>509.61590650839571</v>
      </c>
      <c r="AJ13" s="302">
        <v>2</v>
      </c>
      <c r="AK13" s="113" t="s">
        <v>316</v>
      </c>
      <c r="AL13" s="205">
        <v>1.1240566257580118</v>
      </c>
      <c r="AM13" s="205">
        <f t="shared" si="3"/>
        <v>1124.0566257580117</v>
      </c>
      <c r="AO13" s="306">
        <v>53</v>
      </c>
      <c r="AP13" s="113" t="s">
        <v>333</v>
      </c>
      <c r="AQ13" s="205">
        <v>51.436078359712553</v>
      </c>
      <c r="AS13" s="306">
        <v>53</v>
      </c>
      <c r="AT13" s="113" t="s">
        <v>333</v>
      </c>
      <c r="AU13" s="205">
        <v>0.22867775499001192</v>
      </c>
      <c r="AV13" s="205">
        <f t="shared" si="4"/>
        <v>228.67775499001192</v>
      </c>
      <c r="AX13" s="303">
        <v>8</v>
      </c>
      <c r="AY13" s="113" t="s">
        <v>639</v>
      </c>
      <c r="AZ13" s="205">
        <v>0.83223468262702882</v>
      </c>
      <c r="BB13" s="306">
        <v>50</v>
      </c>
      <c r="BC13" s="113" t="s">
        <v>423</v>
      </c>
      <c r="BD13" s="206">
        <v>2.1405864042918503E-3</v>
      </c>
      <c r="BE13" s="205">
        <f t="shared" si="5"/>
        <v>2.1405864042918501</v>
      </c>
      <c r="BG13" s="303">
        <v>18</v>
      </c>
      <c r="BH13" s="113" t="s">
        <v>578</v>
      </c>
      <c r="BI13" s="205">
        <v>3.4774165129499606</v>
      </c>
      <c r="BK13" s="303">
        <v>11</v>
      </c>
      <c r="BL13" s="113" t="s">
        <v>564</v>
      </c>
      <c r="BM13" s="206">
        <v>9.3989080991384588E-3</v>
      </c>
      <c r="BN13" s="205">
        <f t="shared" si="6"/>
        <v>9.3989080991384597</v>
      </c>
      <c r="BP13" s="307">
        <v>55</v>
      </c>
      <c r="BQ13" s="113" t="s">
        <v>50</v>
      </c>
      <c r="BR13" s="205">
        <v>1184.8416362328157</v>
      </c>
      <c r="BT13" s="306">
        <v>53</v>
      </c>
      <c r="BU13" s="113" t="s">
        <v>333</v>
      </c>
      <c r="BV13" s="205">
        <v>3.6547840873672248</v>
      </c>
      <c r="BW13" s="205">
        <f t="shared" si="7"/>
        <v>3654.7840873672249</v>
      </c>
      <c r="BY13" s="304">
        <v>33</v>
      </c>
      <c r="BZ13" s="113" t="s">
        <v>331</v>
      </c>
      <c r="CA13" s="205">
        <v>6.6892801068338379</v>
      </c>
      <c r="CC13" s="306">
        <v>49</v>
      </c>
      <c r="CD13" s="113" t="s">
        <v>48</v>
      </c>
      <c r="CE13" s="206">
        <v>1.295864665329572E-2</v>
      </c>
      <c r="CF13" s="205">
        <f t="shared" si="8"/>
        <v>12.95864665329572</v>
      </c>
      <c r="CH13" s="303">
        <v>23</v>
      </c>
      <c r="CI13" s="113" t="s">
        <v>581</v>
      </c>
      <c r="CJ13" s="205">
        <v>1437.0612980431038</v>
      </c>
      <c r="CL13" s="306">
        <v>50</v>
      </c>
      <c r="CM13" s="113" t="s">
        <v>423</v>
      </c>
      <c r="CN13" s="206">
        <v>2.7521551934846467</v>
      </c>
      <c r="CO13" s="205">
        <f t="shared" si="9"/>
        <v>2752.1551934846466</v>
      </c>
      <c r="CQ13" s="304">
        <v>34</v>
      </c>
      <c r="CR13" s="113" t="s">
        <v>604</v>
      </c>
      <c r="CS13" s="205">
        <v>38.538886225067159</v>
      </c>
      <c r="CU13" s="303">
        <v>14</v>
      </c>
      <c r="CV13" s="113" t="s">
        <v>456</v>
      </c>
      <c r="CW13" s="206">
        <v>5.7936299381952244E-2</v>
      </c>
      <c r="CX13" s="205">
        <f t="shared" si="10"/>
        <v>57.936299381952246</v>
      </c>
      <c r="CZ13" s="304">
        <v>36</v>
      </c>
      <c r="DA13" s="113" t="s">
        <v>582</v>
      </c>
      <c r="DB13" s="205">
        <f>('nutrient content'!AA38/9)/calculations!C41</f>
        <v>9.488692111638267</v>
      </c>
      <c r="DD13" s="303">
        <v>21</v>
      </c>
      <c r="DE13" s="113" t="s">
        <v>580</v>
      </c>
      <c r="DF13" s="206">
        <v>1.8271305137482756E-2</v>
      </c>
      <c r="DG13" s="205">
        <f t="shared" si="11"/>
        <v>18.271305137482756</v>
      </c>
      <c r="DI13" s="302">
        <v>3</v>
      </c>
      <c r="DJ13" s="113" t="s">
        <v>29</v>
      </c>
      <c r="DK13" s="205">
        <v>110.58043955402258</v>
      </c>
      <c r="DM13" s="303">
        <v>19</v>
      </c>
      <c r="DN13" s="113" t="s">
        <v>555</v>
      </c>
      <c r="DO13" s="206">
        <v>0.32340169780486572</v>
      </c>
      <c r="DP13" s="205">
        <f t="shared" si="12"/>
        <v>323.40169780486571</v>
      </c>
    </row>
    <row r="14" spans="1:121" s="204" customFormat="1" x14ac:dyDescent="0.2">
      <c r="A14" s="304">
        <v>35</v>
      </c>
      <c r="B14" s="308" t="s">
        <v>563</v>
      </c>
      <c r="C14" s="309">
        <v>916.48040098960223</v>
      </c>
      <c r="E14" s="306">
        <v>44</v>
      </c>
      <c r="F14" s="113" t="s">
        <v>176</v>
      </c>
      <c r="G14" s="205">
        <v>291.80732296520665</v>
      </c>
      <c r="I14" s="306">
        <v>49</v>
      </c>
      <c r="J14" s="113" t="s">
        <v>48</v>
      </c>
      <c r="K14" s="205">
        <v>0.5997970404605929</v>
      </c>
      <c r="L14" s="205">
        <f t="shared" si="0"/>
        <v>599.79704046059294</v>
      </c>
      <c r="N14" s="303">
        <v>24</v>
      </c>
      <c r="O14" s="113" t="s">
        <v>15</v>
      </c>
      <c r="P14" s="205">
        <v>11.73176635262894</v>
      </c>
      <c r="R14" s="306">
        <v>45</v>
      </c>
      <c r="S14" s="113" t="s">
        <v>448</v>
      </c>
      <c r="T14" s="205">
        <v>2.8164299388174344E-2</v>
      </c>
      <c r="U14" s="205">
        <f t="shared" si="1"/>
        <v>28.164299388174342</v>
      </c>
      <c r="W14" s="304">
        <v>36</v>
      </c>
      <c r="X14" s="113" t="s">
        <v>582</v>
      </c>
      <c r="Y14" s="205">
        <v>223.20927806845211</v>
      </c>
      <c r="AA14" s="303">
        <v>23</v>
      </c>
      <c r="AB14" s="113" t="s">
        <v>581</v>
      </c>
      <c r="AC14" s="205">
        <v>0.5118466867723872</v>
      </c>
      <c r="AD14" s="205">
        <f t="shared" si="2"/>
        <v>511.84668677238722</v>
      </c>
      <c r="AF14" s="307">
        <v>54</v>
      </c>
      <c r="AG14" s="113" t="s">
        <v>49</v>
      </c>
      <c r="AH14" s="205">
        <v>414.96200639523028</v>
      </c>
      <c r="AJ14" s="304">
        <v>27</v>
      </c>
      <c r="AK14" s="113" t="s">
        <v>457</v>
      </c>
      <c r="AL14" s="205">
        <v>1.0865291870997018</v>
      </c>
      <c r="AM14" s="205">
        <f t="shared" si="3"/>
        <v>1086.5291870997019</v>
      </c>
      <c r="AO14" s="306">
        <v>51</v>
      </c>
      <c r="AP14" s="113" t="s">
        <v>330</v>
      </c>
      <c r="AQ14" s="205">
        <v>48.536991448522421</v>
      </c>
      <c r="AS14" s="306">
        <v>47</v>
      </c>
      <c r="AT14" s="113" t="s">
        <v>603</v>
      </c>
      <c r="AU14" s="205">
        <v>0.16896940955189199</v>
      </c>
      <c r="AV14" s="205">
        <f t="shared" si="4"/>
        <v>168.969409551892</v>
      </c>
      <c r="AX14" s="303">
        <v>16</v>
      </c>
      <c r="AY14" s="113" t="s">
        <v>553</v>
      </c>
      <c r="AZ14" s="205">
        <v>0.8235142934457792</v>
      </c>
      <c r="BB14" s="303">
        <v>9</v>
      </c>
      <c r="BC14" s="113" t="s">
        <v>640</v>
      </c>
      <c r="BD14" s="206">
        <v>2.1154920659802539E-3</v>
      </c>
      <c r="BE14" s="205">
        <f t="shared" si="5"/>
        <v>2.1154920659802539</v>
      </c>
      <c r="BG14" s="304">
        <v>28</v>
      </c>
      <c r="BH14" s="113" t="s">
        <v>63</v>
      </c>
      <c r="BI14" s="205">
        <v>3.0623161147523787</v>
      </c>
      <c r="BK14" s="304">
        <v>28</v>
      </c>
      <c r="BL14" s="113" t="s">
        <v>63</v>
      </c>
      <c r="BM14" s="206">
        <v>6.8617729321567445E-3</v>
      </c>
      <c r="BN14" s="205">
        <f t="shared" si="6"/>
        <v>6.8617729321567449</v>
      </c>
      <c r="BP14" s="303">
        <v>24</v>
      </c>
      <c r="BQ14" s="113" t="s">
        <v>15</v>
      </c>
      <c r="BR14" s="205">
        <v>1105.226967414633</v>
      </c>
      <c r="BT14" s="306">
        <v>43</v>
      </c>
      <c r="BU14" s="113" t="s">
        <v>332</v>
      </c>
      <c r="BV14" s="205">
        <v>3.279596485695933</v>
      </c>
      <c r="BW14" s="205">
        <f t="shared" si="7"/>
        <v>3279.5964856959331</v>
      </c>
      <c r="BY14" s="304">
        <v>36</v>
      </c>
      <c r="BZ14" s="113" t="s">
        <v>582</v>
      </c>
      <c r="CA14" s="205">
        <v>5.755636183545537</v>
      </c>
      <c r="CC14" s="303">
        <v>23</v>
      </c>
      <c r="CD14" s="113" t="s">
        <v>581</v>
      </c>
      <c r="CE14" s="206">
        <v>1.2869168119370226E-2</v>
      </c>
      <c r="CF14" s="205">
        <f t="shared" si="8"/>
        <v>12.869168119370226</v>
      </c>
      <c r="CH14" s="302">
        <v>3</v>
      </c>
      <c r="CI14" s="113" t="s">
        <v>29</v>
      </c>
      <c r="CJ14" s="205">
        <v>1428.6009955674067</v>
      </c>
      <c r="CL14" s="306">
        <v>53</v>
      </c>
      <c r="CM14" s="113" t="s">
        <v>333</v>
      </c>
      <c r="CN14" s="206">
        <v>2.6735844728947695</v>
      </c>
      <c r="CO14" s="205">
        <f t="shared" si="9"/>
        <v>2673.5844728947695</v>
      </c>
      <c r="CQ14" s="303">
        <v>6</v>
      </c>
      <c r="CR14" s="113" t="s">
        <v>637</v>
      </c>
      <c r="CS14" s="205">
        <v>37.596427778325562</v>
      </c>
      <c r="CU14" s="303">
        <v>15</v>
      </c>
      <c r="CV14" s="113" t="s">
        <v>458</v>
      </c>
      <c r="CW14" s="206">
        <v>5.7740307383121206E-2</v>
      </c>
      <c r="CX14" s="205">
        <f t="shared" si="10"/>
        <v>57.740307383121205</v>
      </c>
      <c r="CZ14" s="304">
        <v>33</v>
      </c>
      <c r="DA14" s="113" t="s">
        <v>331</v>
      </c>
      <c r="DB14" s="205">
        <f>('nutrient content'!AA35/9)/calculations!C38</f>
        <v>9.3548822617918947</v>
      </c>
      <c r="DD14" s="304">
        <v>36</v>
      </c>
      <c r="DE14" s="113" t="s">
        <v>582</v>
      </c>
      <c r="DF14" s="206">
        <v>1.7869829669584055E-2</v>
      </c>
      <c r="DG14" s="205">
        <f t="shared" si="11"/>
        <v>17.869829669584057</v>
      </c>
      <c r="DI14" s="302">
        <v>4</v>
      </c>
      <c r="DJ14" s="113" t="s">
        <v>36</v>
      </c>
      <c r="DK14" s="205">
        <v>92.098046249365098</v>
      </c>
      <c r="DM14" s="303">
        <v>6</v>
      </c>
      <c r="DN14" s="113" t="s">
        <v>637</v>
      </c>
      <c r="DO14" s="206">
        <v>0.32113296598022223</v>
      </c>
      <c r="DP14" s="205">
        <f t="shared" si="12"/>
        <v>321.13296598022225</v>
      </c>
    </row>
    <row r="15" spans="1:121" s="204" customFormat="1" x14ac:dyDescent="0.2">
      <c r="A15" s="303">
        <v>20</v>
      </c>
      <c r="B15" s="308" t="s">
        <v>579</v>
      </c>
      <c r="C15" s="309">
        <v>846.58189695940666</v>
      </c>
      <c r="E15" s="304">
        <v>28</v>
      </c>
      <c r="F15" s="113" t="s">
        <v>63</v>
      </c>
      <c r="G15" s="205">
        <v>284.4141451566091</v>
      </c>
      <c r="I15" s="303">
        <v>13</v>
      </c>
      <c r="J15" s="113" t="s">
        <v>565</v>
      </c>
      <c r="K15" s="205">
        <v>0.55339479200285158</v>
      </c>
      <c r="L15" s="205">
        <f t="shared" si="0"/>
        <v>553.39479200285155</v>
      </c>
      <c r="N15" s="304">
        <v>31</v>
      </c>
      <c r="O15" s="113" t="s">
        <v>315</v>
      </c>
      <c r="P15" s="205">
        <v>10.876241301488996</v>
      </c>
      <c r="R15" s="304">
        <v>28</v>
      </c>
      <c r="S15" s="113" t="s">
        <v>63</v>
      </c>
      <c r="T15" s="205">
        <v>2.3555624604056698E-2</v>
      </c>
      <c r="U15" s="205">
        <f t="shared" si="1"/>
        <v>23.555624604056696</v>
      </c>
      <c r="W15" s="304">
        <v>35</v>
      </c>
      <c r="X15" s="113" t="s">
        <v>563</v>
      </c>
      <c r="Y15" s="205">
        <v>221.07412861085388</v>
      </c>
      <c r="AA15" s="306">
        <v>48</v>
      </c>
      <c r="AB15" s="113" t="s">
        <v>155</v>
      </c>
      <c r="AC15" s="205">
        <v>0.46823180748697768</v>
      </c>
      <c r="AD15" s="205">
        <f t="shared" si="2"/>
        <v>468.23180748697769</v>
      </c>
      <c r="AF15" s="306">
        <v>46</v>
      </c>
      <c r="AG15" s="113" t="s">
        <v>535</v>
      </c>
      <c r="AH15" s="205">
        <v>378.62867970430358</v>
      </c>
      <c r="AJ15" s="304">
        <v>29</v>
      </c>
      <c r="AK15" s="113" t="s">
        <v>615</v>
      </c>
      <c r="AL15" s="205">
        <v>1.0608915802368082</v>
      </c>
      <c r="AM15" s="205">
        <f t="shared" si="3"/>
        <v>1060.8915802368083</v>
      </c>
      <c r="AO15" s="307">
        <v>56</v>
      </c>
      <c r="AP15" s="113" t="s">
        <v>51</v>
      </c>
      <c r="AQ15" s="205">
        <v>46.983409213281341</v>
      </c>
      <c r="AS15" s="306">
        <v>48</v>
      </c>
      <c r="AT15" s="113" t="s">
        <v>155</v>
      </c>
      <c r="AU15" s="205">
        <v>0.1625856274775149</v>
      </c>
      <c r="AV15" s="205">
        <f t="shared" si="4"/>
        <v>162.58562747751489</v>
      </c>
      <c r="AX15" s="306">
        <v>47</v>
      </c>
      <c r="AY15" s="113" t="s">
        <v>603</v>
      </c>
      <c r="AZ15" s="205">
        <v>0.81715037595323059</v>
      </c>
      <c r="BB15" s="306">
        <v>53</v>
      </c>
      <c r="BC15" s="113" t="s">
        <v>333</v>
      </c>
      <c r="BD15" s="206">
        <v>2.0258697390170242E-3</v>
      </c>
      <c r="BE15" s="205">
        <f t="shared" si="5"/>
        <v>2.0258697390170242</v>
      </c>
      <c r="BG15" s="303">
        <v>16</v>
      </c>
      <c r="BH15" s="113" t="s">
        <v>553</v>
      </c>
      <c r="BI15" s="205">
        <v>2.925046828868346</v>
      </c>
      <c r="BK15" s="303">
        <v>16</v>
      </c>
      <c r="BL15" s="113" t="s">
        <v>553</v>
      </c>
      <c r="BM15" s="206">
        <v>6.7048493389708901E-3</v>
      </c>
      <c r="BN15" s="205">
        <f t="shared" si="6"/>
        <v>6.7048493389708899</v>
      </c>
      <c r="BP15" s="305">
        <v>41</v>
      </c>
      <c r="BQ15" s="113" t="s">
        <v>584</v>
      </c>
      <c r="BR15" s="205">
        <v>975.97660532357907</v>
      </c>
      <c r="BT15" s="302">
        <v>2</v>
      </c>
      <c r="BU15" s="113" t="s">
        <v>316</v>
      </c>
      <c r="BV15" s="205">
        <v>3.2194735324024952</v>
      </c>
      <c r="BW15" s="205">
        <f t="shared" si="7"/>
        <v>3219.473532402495</v>
      </c>
      <c r="BY15" s="303">
        <v>24</v>
      </c>
      <c r="BZ15" s="113" t="s">
        <v>15</v>
      </c>
      <c r="CA15" s="205">
        <v>5.7025360784663688</v>
      </c>
      <c r="CC15" s="303">
        <v>16</v>
      </c>
      <c r="CD15" s="113" t="s">
        <v>553</v>
      </c>
      <c r="CE15" s="206">
        <v>1.2453663409240454E-2</v>
      </c>
      <c r="CF15" s="205">
        <f t="shared" si="8"/>
        <v>12.453663409240454</v>
      </c>
      <c r="CH15" s="303">
        <v>12</v>
      </c>
      <c r="CI15" s="113" t="s">
        <v>454</v>
      </c>
      <c r="CJ15" s="205">
        <v>1157.197463377646</v>
      </c>
      <c r="CL15" s="304">
        <v>37</v>
      </c>
      <c r="CM15" s="113" t="s">
        <v>455</v>
      </c>
      <c r="CN15" s="206">
        <v>2.4775025661847843</v>
      </c>
      <c r="CO15" s="205">
        <f t="shared" si="9"/>
        <v>2477.5025661847844</v>
      </c>
      <c r="CQ15" s="302">
        <v>3</v>
      </c>
      <c r="CR15" s="113" t="s">
        <v>29</v>
      </c>
      <c r="CS15" s="205">
        <v>35.233922083072436</v>
      </c>
      <c r="CU15" s="303">
        <v>10</v>
      </c>
      <c r="CV15" s="113" t="s">
        <v>642</v>
      </c>
      <c r="CW15" s="206">
        <v>5.6274180447933531E-2</v>
      </c>
      <c r="CX15" s="205">
        <f t="shared" si="10"/>
        <v>56.274180447933531</v>
      </c>
      <c r="CZ15" s="302">
        <v>2</v>
      </c>
      <c r="DA15" s="113" t="s">
        <v>316</v>
      </c>
      <c r="DB15" s="205">
        <f>('nutrient content'!AA4/9)/calculations!C7</f>
        <v>7.8162312618870065</v>
      </c>
      <c r="DD15" s="303">
        <v>19</v>
      </c>
      <c r="DE15" s="113" t="s">
        <v>555</v>
      </c>
      <c r="DF15" s="206">
        <v>1.6636178884592748E-2</v>
      </c>
      <c r="DG15" s="205">
        <f t="shared" si="11"/>
        <v>16.636178884592749</v>
      </c>
      <c r="DI15" s="303">
        <v>7</v>
      </c>
      <c r="DJ15" s="113" t="s">
        <v>638</v>
      </c>
      <c r="DK15" s="205">
        <v>89.94133287944797</v>
      </c>
      <c r="DM15" s="303">
        <v>15</v>
      </c>
      <c r="DN15" s="113" t="s">
        <v>458</v>
      </c>
      <c r="DO15" s="206">
        <v>0.31980489636053622</v>
      </c>
      <c r="DP15" s="205">
        <f t="shared" si="12"/>
        <v>319.80489636053619</v>
      </c>
    </row>
    <row r="16" spans="1:121" s="204" customFormat="1" x14ac:dyDescent="0.2">
      <c r="A16" s="304">
        <v>37</v>
      </c>
      <c r="B16" s="308" t="s">
        <v>455</v>
      </c>
      <c r="C16" s="309">
        <v>829.27964654191271</v>
      </c>
      <c r="E16" s="303">
        <v>23</v>
      </c>
      <c r="F16" s="113" t="s">
        <v>581</v>
      </c>
      <c r="G16" s="205">
        <v>252.40717307011172</v>
      </c>
      <c r="I16" s="304">
        <v>36</v>
      </c>
      <c r="J16" s="113" t="s">
        <v>582</v>
      </c>
      <c r="K16" s="205">
        <v>0.55175656232856962</v>
      </c>
      <c r="L16" s="205">
        <f t="shared" si="0"/>
        <v>551.75656232856966</v>
      </c>
      <c r="N16" s="304">
        <v>28</v>
      </c>
      <c r="O16" s="113" t="s">
        <v>63</v>
      </c>
      <c r="P16" s="205">
        <v>10.512555505882581</v>
      </c>
      <c r="R16" s="304">
        <v>25</v>
      </c>
      <c r="S16" s="113" t="s">
        <v>602</v>
      </c>
      <c r="T16" s="205">
        <v>2.2986692316708253E-2</v>
      </c>
      <c r="U16" s="205">
        <f t="shared" si="1"/>
        <v>22.986692316708254</v>
      </c>
      <c r="W16" s="306">
        <v>46</v>
      </c>
      <c r="X16" s="113" t="s">
        <v>535</v>
      </c>
      <c r="Y16" s="205">
        <v>192.79069314759661</v>
      </c>
      <c r="AA16" s="304">
        <v>37</v>
      </c>
      <c r="AB16" s="113" t="s">
        <v>455</v>
      </c>
      <c r="AC16" s="205">
        <v>0.4546371549742374</v>
      </c>
      <c r="AD16" s="205">
        <f t="shared" si="2"/>
        <v>454.63715497423738</v>
      </c>
      <c r="AF16" s="302">
        <v>1</v>
      </c>
      <c r="AG16" s="113" t="s">
        <v>577</v>
      </c>
      <c r="AH16" s="205">
        <v>361.16456386882572</v>
      </c>
      <c r="AJ16" s="303">
        <v>20</v>
      </c>
      <c r="AK16" s="113" t="s">
        <v>579</v>
      </c>
      <c r="AL16" s="205">
        <v>0.77458760017043549</v>
      </c>
      <c r="AM16" s="205">
        <f t="shared" si="3"/>
        <v>774.58760017043551</v>
      </c>
      <c r="AO16" s="306">
        <v>50</v>
      </c>
      <c r="AP16" s="113" t="s">
        <v>423</v>
      </c>
      <c r="AQ16" s="205">
        <v>45.981419187529085</v>
      </c>
      <c r="AS16" s="306">
        <v>52</v>
      </c>
      <c r="AT16" s="113" t="s">
        <v>422</v>
      </c>
      <c r="AU16" s="205">
        <v>0.14861721786630208</v>
      </c>
      <c r="AV16" s="205">
        <f t="shared" si="4"/>
        <v>148.61721786630207</v>
      </c>
      <c r="AX16" s="303">
        <v>14</v>
      </c>
      <c r="AY16" s="113" t="s">
        <v>456</v>
      </c>
      <c r="AZ16" s="205">
        <v>0.77390718014760407</v>
      </c>
      <c r="BB16" s="305">
        <v>41</v>
      </c>
      <c r="BC16" s="113" t="s">
        <v>584</v>
      </c>
      <c r="BD16" s="206">
        <v>1.9859300996889137E-3</v>
      </c>
      <c r="BE16" s="205">
        <f t="shared" si="5"/>
        <v>1.9859300996889138</v>
      </c>
      <c r="BG16" s="302">
        <v>5</v>
      </c>
      <c r="BH16" s="113" t="s">
        <v>37</v>
      </c>
      <c r="BI16" s="205">
        <v>1.9942584666463414</v>
      </c>
      <c r="BK16" s="302">
        <v>1</v>
      </c>
      <c r="BL16" s="113" t="s">
        <v>577</v>
      </c>
      <c r="BM16" s="206">
        <v>6.1155778434023441E-3</v>
      </c>
      <c r="BN16" s="205">
        <f t="shared" si="6"/>
        <v>6.1155778434023444</v>
      </c>
      <c r="BP16" s="305">
        <v>40</v>
      </c>
      <c r="BQ16" s="113" t="s">
        <v>606</v>
      </c>
      <c r="BR16" s="205">
        <v>951.38787239837507</v>
      </c>
      <c r="BT16" s="305">
        <v>41</v>
      </c>
      <c r="BU16" s="113" t="s">
        <v>584</v>
      </c>
      <c r="BV16" s="205">
        <v>2.9346557048986348</v>
      </c>
      <c r="BW16" s="205">
        <f t="shared" si="7"/>
        <v>2934.6557048986347</v>
      </c>
      <c r="BY16" s="304">
        <v>35</v>
      </c>
      <c r="BZ16" s="113" t="s">
        <v>563</v>
      </c>
      <c r="CA16" s="205">
        <v>5.6311439981253422</v>
      </c>
      <c r="CC16" s="304">
        <v>25</v>
      </c>
      <c r="CD16" s="113" t="s">
        <v>602</v>
      </c>
      <c r="CE16" s="206">
        <v>1.1454496258821866E-2</v>
      </c>
      <c r="CF16" s="205">
        <f t="shared" si="8"/>
        <v>11.454496258821866</v>
      </c>
      <c r="CH16" s="304">
        <v>34</v>
      </c>
      <c r="CI16" s="113" t="s">
        <v>604</v>
      </c>
      <c r="CJ16" s="205">
        <v>1150.238907941786</v>
      </c>
      <c r="CL16" s="303">
        <v>22</v>
      </c>
      <c r="CM16" s="113" t="s">
        <v>430</v>
      </c>
      <c r="CN16" s="206">
        <v>2.3398459250782944</v>
      </c>
      <c r="CO16" s="205">
        <f t="shared" si="9"/>
        <v>2339.8459250782944</v>
      </c>
      <c r="CQ16" s="304">
        <v>36</v>
      </c>
      <c r="CR16" s="113" t="s">
        <v>582</v>
      </c>
      <c r="CS16" s="205">
        <v>34.803430373538546</v>
      </c>
      <c r="CU16" s="307">
        <v>55</v>
      </c>
      <c r="CV16" s="113" t="s">
        <v>50</v>
      </c>
      <c r="CW16" s="206">
        <v>5.6023381847986019E-2</v>
      </c>
      <c r="CX16" s="205">
        <f t="shared" si="10"/>
        <v>56.023381847986016</v>
      </c>
      <c r="CZ16" s="303">
        <v>14</v>
      </c>
      <c r="DA16" s="113" t="s">
        <v>456</v>
      </c>
      <c r="DB16" s="205">
        <f>('nutrient content'!AA16/9)/calculations!C19</f>
        <v>7.0505013057287886</v>
      </c>
      <c r="DD16" s="303">
        <v>9</v>
      </c>
      <c r="DE16" s="113" t="s">
        <v>640</v>
      </c>
      <c r="DF16" s="206">
        <v>1.5754680834005257E-2</v>
      </c>
      <c r="DG16" s="205">
        <f t="shared" si="11"/>
        <v>15.754680834005256</v>
      </c>
      <c r="DI16" s="303">
        <v>19</v>
      </c>
      <c r="DJ16" s="113" t="s">
        <v>555</v>
      </c>
      <c r="DK16" s="205">
        <v>89.108176191709319</v>
      </c>
      <c r="DM16" s="303">
        <v>7</v>
      </c>
      <c r="DN16" s="113" t="s">
        <v>638</v>
      </c>
      <c r="DO16" s="206">
        <v>0.27274207738461087</v>
      </c>
      <c r="DP16" s="205">
        <f t="shared" si="12"/>
        <v>272.74207738461087</v>
      </c>
    </row>
    <row r="17" spans="1:120" s="204" customFormat="1" x14ac:dyDescent="0.2">
      <c r="A17" s="304">
        <v>34</v>
      </c>
      <c r="B17" s="308" t="s">
        <v>604</v>
      </c>
      <c r="C17" s="309">
        <v>803.4455014679105</v>
      </c>
      <c r="E17" s="306">
        <v>43</v>
      </c>
      <c r="F17" s="113" t="s">
        <v>332</v>
      </c>
      <c r="G17" s="205">
        <v>247.61915619755487</v>
      </c>
      <c r="I17" s="306">
        <v>48</v>
      </c>
      <c r="J17" s="113" t="s">
        <v>155</v>
      </c>
      <c r="K17" s="205">
        <v>0.50936505378478281</v>
      </c>
      <c r="L17" s="205">
        <f t="shared" si="0"/>
        <v>509.36505378478279</v>
      </c>
      <c r="N17" s="305">
        <v>41</v>
      </c>
      <c r="O17" s="113" t="s">
        <v>584</v>
      </c>
      <c r="P17" s="205">
        <v>10.248150255503772</v>
      </c>
      <c r="R17" s="304">
        <v>29</v>
      </c>
      <c r="S17" s="113" t="s">
        <v>615</v>
      </c>
      <c r="T17" s="205">
        <v>2.0458918580486693E-2</v>
      </c>
      <c r="U17" s="205">
        <f t="shared" si="1"/>
        <v>20.458918580486692</v>
      </c>
      <c r="W17" s="303">
        <v>20</v>
      </c>
      <c r="X17" s="113" t="s">
        <v>579</v>
      </c>
      <c r="Y17" s="205">
        <v>152.93217917580293</v>
      </c>
      <c r="AA17" s="306">
        <v>53</v>
      </c>
      <c r="AB17" s="113" t="s">
        <v>333</v>
      </c>
      <c r="AC17" s="205">
        <v>0.42860741704061789</v>
      </c>
      <c r="AD17" s="205">
        <f t="shared" si="2"/>
        <v>428.60741704061786</v>
      </c>
      <c r="AF17" s="302">
        <v>5</v>
      </c>
      <c r="AG17" s="113" t="s">
        <v>37</v>
      </c>
      <c r="AH17" s="205">
        <v>344.18766452731921</v>
      </c>
      <c r="AJ17" s="302">
        <v>5</v>
      </c>
      <c r="AK17" s="113" t="s">
        <v>37</v>
      </c>
      <c r="AL17" s="205">
        <v>0.74743312243809468</v>
      </c>
      <c r="AM17" s="205">
        <f t="shared" si="3"/>
        <v>747.43312243809464</v>
      </c>
      <c r="AO17" s="306">
        <v>48</v>
      </c>
      <c r="AP17" s="113" t="s">
        <v>155</v>
      </c>
      <c r="AQ17" s="205">
        <v>42.217703810312358</v>
      </c>
      <c r="AS17" s="305">
        <v>41</v>
      </c>
      <c r="AT17" s="113" t="s">
        <v>584</v>
      </c>
      <c r="AU17" s="205">
        <v>0.10961568282606306</v>
      </c>
      <c r="AV17" s="205">
        <f t="shared" si="4"/>
        <v>109.61568282606305</v>
      </c>
      <c r="AX17" s="306">
        <v>45</v>
      </c>
      <c r="AY17" s="113" t="s">
        <v>448</v>
      </c>
      <c r="AZ17" s="205">
        <v>0.76422542111268488</v>
      </c>
      <c r="BB17" s="303">
        <v>12</v>
      </c>
      <c r="BC17" s="113" t="s">
        <v>454</v>
      </c>
      <c r="BD17" s="206">
        <v>1.8905444155169855E-3</v>
      </c>
      <c r="BE17" s="205">
        <f t="shared" si="5"/>
        <v>1.8905444155169855</v>
      </c>
      <c r="BG17" s="303">
        <v>7</v>
      </c>
      <c r="BH17" s="113" t="s">
        <v>638</v>
      </c>
      <c r="BI17" s="205">
        <v>1.8580893577566333</v>
      </c>
      <c r="BK17" s="303">
        <v>7</v>
      </c>
      <c r="BL17" s="113" t="s">
        <v>638</v>
      </c>
      <c r="BM17" s="206">
        <v>5.6345523818291457E-3</v>
      </c>
      <c r="BN17" s="205">
        <f t="shared" si="6"/>
        <v>5.6345523818291454</v>
      </c>
      <c r="BP17" s="304">
        <v>37</v>
      </c>
      <c r="BQ17" s="113" t="s">
        <v>455</v>
      </c>
      <c r="BR17" s="205">
        <v>932.86824850535993</v>
      </c>
      <c r="BT17" s="306">
        <v>48</v>
      </c>
      <c r="BU17" s="113" t="s">
        <v>155</v>
      </c>
      <c r="BV17" s="205">
        <v>2.5785100819814546</v>
      </c>
      <c r="BW17" s="205">
        <f t="shared" si="7"/>
        <v>2578.5100819814547</v>
      </c>
      <c r="BY17" s="304">
        <v>30</v>
      </c>
      <c r="BZ17" s="113" t="s">
        <v>322</v>
      </c>
      <c r="CA17" s="205">
        <v>5.4657054825221891</v>
      </c>
      <c r="CC17" s="303">
        <v>12</v>
      </c>
      <c r="CD17" s="113" t="s">
        <v>454</v>
      </c>
      <c r="CE17" s="206">
        <v>1.1411679452633135E-2</v>
      </c>
      <c r="CF17" s="205">
        <f t="shared" si="8"/>
        <v>11.411679452633136</v>
      </c>
      <c r="CH17" s="303">
        <v>20</v>
      </c>
      <c r="CI17" s="113" t="s">
        <v>579</v>
      </c>
      <c r="CJ17" s="205">
        <v>1141.9211729136823</v>
      </c>
      <c r="CL17" s="304">
        <v>26</v>
      </c>
      <c r="CM17" s="113" t="s">
        <v>329</v>
      </c>
      <c r="CN17" s="206">
        <v>1.8691651663749635</v>
      </c>
      <c r="CO17" s="205">
        <f t="shared" si="9"/>
        <v>1869.1651663749635</v>
      </c>
      <c r="CQ17" s="303">
        <v>23</v>
      </c>
      <c r="CR17" s="113" t="s">
        <v>581</v>
      </c>
      <c r="CS17" s="205">
        <v>32.626857159030727</v>
      </c>
      <c r="CU17" s="306">
        <v>42</v>
      </c>
      <c r="CV17" s="113" t="s">
        <v>230</v>
      </c>
      <c r="CW17" s="206">
        <v>5.4989025019558949E-2</v>
      </c>
      <c r="CX17" s="205">
        <f t="shared" si="10"/>
        <v>54.989025019558952</v>
      </c>
      <c r="CZ17" s="304">
        <v>32</v>
      </c>
      <c r="DA17" s="113" t="s">
        <v>429</v>
      </c>
      <c r="DB17" s="205">
        <f>('nutrient content'!AA34/9)/calculations!C37</f>
        <v>6.4841433615429747</v>
      </c>
      <c r="DD17" s="306">
        <v>44</v>
      </c>
      <c r="DE17" s="113" t="s">
        <v>176</v>
      </c>
      <c r="DF17" s="206">
        <v>1.544646756631122E-2</v>
      </c>
      <c r="DG17" s="205">
        <f t="shared" si="11"/>
        <v>15.44646756631122</v>
      </c>
      <c r="DI17" s="303">
        <v>17</v>
      </c>
      <c r="DJ17" s="113" t="s">
        <v>554</v>
      </c>
      <c r="DK17" s="205">
        <v>88.548789959012225</v>
      </c>
      <c r="DM17" s="303">
        <v>12</v>
      </c>
      <c r="DN17" s="113" t="s">
        <v>454</v>
      </c>
      <c r="DO17" s="206">
        <v>0.23731077256760405</v>
      </c>
      <c r="DP17" s="205">
        <f t="shared" si="12"/>
        <v>237.31077256760406</v>
      </c>
    </row>
    <row r="18" spans="1:120" s="204" customFormat="1" x14ac:dyDescent="0.2">
      <c r="A18" s="302">
        <v>1</v>
      </c>
      <c r="B18" s="308" t="s">
        <v>577</v>
      </c>
      <c r="C18" s="309">
        <v>756.06264338482504</v>
      </c>
      <c r="E18" s="304">
        <v>27</v>
      </c>
      <c r="F18" s="113" t="s">
        <v>457</v>
      </c>
      <c r="G18" s="205">
        <v>230.32786734895154</v>
      </c>
      <c r="I18" s="304">
        <v>29</v>
      </c>
      <c r="J18" s="113" t="s">
        <v>615</v>
      </c>
      <c r="K18" s="205">
        <v>0.50598354775236887</v>
      </c>
      <c r="L18" s="205">
        <f t="shared" si="0"/>
        <v>505.98354775236885</v>
      </c>
      <c r="N18" s="306">
        <v>53</v>
      </c>
      <c r="O18" s="113" t="s">
        <v>333</v>
      </c>
      <c r="P18" s="205">
        <v>9.8560213159372925</v>
      </c>
      <c r="R18" s="306">
        <v>49</v>
      </c>
      <c r="S18" s="113" t="s">
        <v>48</v>
      </c>
      <c r="T18" s="205">
        <v>1.8260170618135906E-2</v>
      </c>
      <c r="U18" s="205">
        <f t="shared" si="1"/>
        <v>18.260170618135906</v>
      </c>
      <c r="W18" s="306">
        <v>50</v>
      </c>
      <c r="X18" s="113" t="s">
        <v>423</v>
      </c>
      <c r="Y18" s="205">
        <v>147.50353905407883</v>
      </c>
      <c r="AA18" s="305">
        <v>39</v>
      </c>
      <c r="AB18" s="113" t="s">
        <v>583</v>
      </c>
      <c r="AC18" s="205">
        <v>0.39668344060062866</v>
      </c>
      <c r="AD18" s="205">
        <f t="shared" si="2"/>
        <v>396.68344060062867</v>
      </c>
      <c r="AF18" s="304">
        <v>28</v>
      </c>
      <c r="AG18" s="113" t="s">
        <v>63</v>
      </c>
      <c r="AH18" s="205">
        <v>324.83928843476747</v>
      </c>
      <c r="AJ18" s="306">
        <v>50</v>
      </c>
      <c r="AK18" s="113" t="s">
        <v>423</v>
      </c>
      <c r="AL18" s="205">
        <v>0.73308597698592615</v>
      </c>
      <c r="AM18" s="205">
        <f t="shared" si="3"/>
        <v>733.0859769859261</v>
      </c>
      <c r="AO18" s="306">
        <v>45</v>
      </c>
      <c r="AP18" s="113" t="s">
        <v>448</v>
      </c>
      <c r="AQ18" s="205">
        <v>40.643560701471856</v>
      </c>
      <c r="AS18" s="306">
        <v>43</v>
      </c>
      <c r="AT18" s="113" t="s">
        <v>332</v>
      </c>
      <c r="AU18" s="205">
        <v>8.8897893519166604E-2</v>
      </c>
      <c r="AV18" s="205">
        <f t="shared" si="4"/>
        <v>88.897893519166601</v>
      </c>
      <c r="AX18" s="303">
        <v>6</v>
      </c>
      <c r="AY18" s="113" t="s">
        <v>637</v>
      </c>
      <c r="AZ18" s="205">
        <v>0.67821890403226814</v>
      </c>
      <c r="BB18" s="303">
        <v>16</v>
      </c>
      <c r="BC18" s="113" t="s">
        <v>553</v>
      </c>
      <c r="BD18" s="206">
        <v>1.8876755105418969E-3</v>
      </c>
      <c r="BE18" s="205">
        <f t="shared" si="5"/>
        <v>1.8876755105418968</v>
      </c>
      <c r="BG18" s="303">
        <v>11</v>
      </c>
      <c r="BH18" s="113" t="s">
        <v>564</v>
      </c>
      <c r="BI18" s="205">
        <v>1.7878933498486711</v>
      </c>
      <c r="BK18" s="303">
        <v>20</v>
      </c>
      <c r="BL18" s="113" t="s">
        <v>579</v>
      </c>
      <c r="BM18" s="206">
        <v>5.4610176386991165E-3</v>
      </c>
      <c r="BN18" s="205">
        <f t="shared" si="6"/>
        <v>5.4610176386991167</v>
      </c>
      <c r="BP18" s="302">
        <v>5</v>
      </c>
      <c r="BQ18" s="113" t="s">
        <v>37</v>
      </c>
      <c r="BR18" s="205">
        <v>916.15561043152888</v>
      </c>
      <c r="BT18" s="306">
        <v>45</v>
      </c>
      <c r="BU18" s="113" t="s">
        <v>448</v>
      </c>
      <c r="BV18" s="205">
        <v>2.5159704580440754</v>
      </c>
      <c r="BW18" s="205">
        <f t="shared" si="7"/>
        <v>2515.9704580440753</v>
      </c>
      <c r="BY18" s="303">
        <v>16</v>
      </c>
      <c r="BZ18" s="113" t="s">
        <v>553</v>
      </c>
      <c r="CA18" s="205">
        <v>5.4330152433497814</v>
      </c>
      <c r="CC18" s="303">
        <v>9</v>
      </c>
      <c r="CD18" s="113" t="s">
        <v>640</v>
      </c>
      <c r="CE18" s="206">
        <v>1.1409988379717687E-2</v>
      </c>
      <c r="CF18" s="205">
        <f t="shared" si="8"/>
        <v>11.409988379717687</v>
      </c>
      <c r="CH18" s="304">
        <v>36</v>
      </c>
      <c r="CI18" s="113" t="s">
        <v>582</v>
      </c>
      <c r="CJ18" s="205">
        <v>1003.4074869085476</v>
      </c>
      <c r="CL18" s="304">
        <v>35</v>
      </c>
      <c r="CM18" s="113" t="s">
        <v>563</v>
      </c>
      <c r="CN18" s="206">
        <v>1.8033697732348248</v>
      </c>
      <c r="CO18" s="205">
        <f t="shared" si="9"/>
        <v>1803.3697732348248</v>
      </c>
      <c r="CQ18" s="306">
        <v>52</v>
      </c>
      <c r="CR18" s="113" t="s">
        <v>422</v>
      </c>
      <c r="CS18" s="205">
        <v>29.049616263413352</v>
      </c>
      <c r="CU18" s="303">
        <v>21</v>
      </c>
      <c r="CV18" s="113" t="s">
        <v>580</v>
      </c>
      <c r="CW18" s="206">
        <v>5.386958307941081E-2</v>
      </c>
      <c r="CX18" s="205">
        <f t="shared" si="10"/>
        <v>53.869583079410809</v>
      </c>
      <c r="CZ18" s="306">
        <v>43</v>
      </c>
      <c r="DA18" s="113" t="s">
        <v>332</v>
      </c>
      <c r="DB18" s="205">
        <f>('nutrient content'!AA45/9)/calculations!C48</f>
        <v>6.2055688082822771</v>
      </c>
      <c r="DD18" s="304">
        <v>32</v>
      </c>
      <c r="DE18" s="113" t="s">
        <v>429</v>
      </c>
      <c r="DF18" s="206">
        <v>1.4559232771010131E-2</v>
      </c>
      <c r="DG18" s="205">
        <f t="shared" si="11"/>
        <v>14.55923277101013</v>
      </c>
      <c r="DI18" s="303">
        <v>21</v>
      </c>
      <c r="DJ18" s="113" t="s">
        <v>580</v>
      </c>
      <c r="DK18" s="205">
        <v>86.979572743114772</v>
      </c>
      <c r="DM18" s="303">
        <v>22</v>
      </c>
      <c r="DN18" s="113" t="s">
        <v>430</v>
      </c>
      <c r="DO18" s="206">
        <v>0.2325763855254267</v>
      </c>
      <c r="DP18" s="205">
        <f t="shared" si="12"/>
        <v>232.5763855254267</v>
      </c>
    </row>
    <row r="19" spans="1:120" s="204" customFormat="1" x14ac:dyDescent="0.2">
      <c r="A19" s="304">
        <v>36</v>
      </c>
      <c r="B19" s="308" t="s">
        <v>582</v>
      </c>
      <c r="C19" s="309">
        <v>750.23466940473418</v>
      </c>
      <c r="E19" s="306">
        <v>49</v>
      </c>
      <c r="F19" s="113" t="s">
        <v>48</v>
      </c>
      <c r="G19" s="205">
        <v>217.6340085263891</v>
      </c>
      <c r="I19" s="306">
        <v>50</v>
      </c>
      <c r="J19" s="113" t="s">
        <v>423</v>
      </c>
      <c r="K19" s="205">
        <v>0.49400270885301656</v>
      </c>
      <c r="L19" s="205">
        <f t="shared" si="0"/>
        <v>494.00270885301654</v>
      </c>
      <c r="N19" s="304">
        <v>37</v>
      </c>
      <c r="O19" s="113" t="s">
        <v>455</v>
      </c>
      <c r="P19" s="205">
        <v>8.0096108593373305</v>
      </c>
      <c r="R19" s="304">
        <v>34</v>
      </c>
      <c r="S19" s="113" t="s">
        <v>604</v>
      </c>
      <c r="T19" s="205">
        <v>1.8220674049660924E-2</v>
      </c>
      <c r="U19" s="205">
        <f t="shared" si="1"/>
        <v>18.220674049660925</v>
      </c>
      <c r="W19" s="303">
        <v>24</v>
      </c>
      <c r="X19" s="113" t="s">
        <v>15</v>
      </c>
      <c r="Y19" s="205">
        <v>144.49877722732896</v>
      </c>
      <c r="AA19" s="307">
        <v>55</v>
      </c>
      <c r="AB19" s="113" t="s">
        <v>50</v>
      </c>
      <c r="AC19" s="205">
        <v>0.37198456998848201</v>
      </c>
      <c r="AD19" s="205">
        <f t="shared" si="2"/>
        <v>371.98456998848201</v>
      </c>
      <c r="AF19" s="302">
        <v>4</v>
      </c>
      <c r="AG19" s="113" t="s">
        <v>36</v>
      </c>
      <c r="AH19" s="205">
        <v>318.09766063882387</v>
      </c>
      <c r="AJ19" s="304">
        <v>28</v>
      </c>
      <c r="AK19" s="113" t="s">
        <v>63</v>
      </c>
      <c r="AL19" s="205">
        <v>0.72787176540818388</v>
      </c>
      <c r="AM19" s="205">
        <f t="shared" si="3"/>
        <v>727.87176540818393</v>
      </c>
      <c r="AO19" s="306">
        <v>47</v>
      </c>
      <c r="AP19" s="113" t="s">
        <v>603</v>
      </c>
      <c r="AQ19" s="205">
        <v>40.174217730180544</v>
      </c>
      <c r="AS19" s="307">
        <v>56</v>
      </c>
      <c r="AT19" s="113" t="s">
        <v>51</v>
      </c>
      <c r="AU19" s="205">
        <v>8.3381809796614692E-2</v>
      </c>
      <c r="AV19" s="205">
        <f t="shared" si="4"/>
        <v>83.381809796614689</v>
      </c>
      <c r="AX19" s="303">
        <v>24</v>
      </c>
      <c r="AY19" s="113" t="s">
        <v>15</v>
      </c>
      <c r="AZ19" s="205">
        <v>0.67108164201324338</v>
      </c>
      <c r="BB19" s="303">
        <v>19</v>
      </c>
      <c r="BC19" s="113" t="s">
        <v>555</v>
      </c>
      <c r="BD19" s="206">
        <v>1.8478238708945526E-3</v>
      </c>
      <c r="BE19" s="205">
        <f t="shared" si="5"/>
        <v>1.8478238708945527</v>
      </c>
      <c r="BG19" s="303">
        <v>9</v>
      </c>
      <c r="BH19" s="113" t="s">
        <v>640</v>
      </c>
      <c r="BI19" s="205">
        <v>1.7852359089492129</v>
      </c>
      <c r="BK19" s="303">
        <v>22</v>
      </c>
      <c r="BL19" s="113" t="s">
        <v>430</v>
      </c>
      <c r="BM19" s="206">
        <v>5.0171443864151562E-3</v>
      </c>
      <c r="BN19" s="205">
        <f t="shared" si="6"/>
        <v>5.0171443864151559</v>
      </c>
      <c r="BP19" s="306">
        <v>53</v>
      </c>
      <c r="BQ19" s="113" t="s">
        <v>333</v>
      </c>
      <c r="BR19" s="205">
        <v>822.06404691117393</v>
      </c>
      <c r="BT19" s="305">
        <v>40</v>
      </c>
      <c r="BU19" s="113" t="s">
        <v>606</v>
      </c>
      <c r="BV19" s="205">
        <v>2.4537621081040899</v>
      </c>
      <c r="BW19" s="205">
        <f t="shared" si="7"/>
        <v>2453.7621081040897</v>
      </c>
      <c r="BY19" s="303">
        <v>6</v>
      </c>
      <c r="BZ19" s="113" t="s">
        <v>637</v>
      </c>
      <c r="CA19" s="205">
        <v>4.7348167440283584</v>
      </c>
      <c r="CC19" s="304">
        <v>26</v>
      </c>
      <c r="CD19" s="113" t="s">
        <v>329</v>
      </c>
      <c r="CE19" s="206">
        <v>1.1035377291983619E-2</v>
      </c>
      <c r="CF19" s="205">
        <f t="shared" si="8"/>
        <v>11.035377291983618</v>
      </c>
      <c r="CH19" s="304">
        <v>27</v>
      </c>
      <c r="CI19" s="113" t="s">
        <v>457</v>
      </c>
      <c r="CJ19" s="205">
        <v>990.2330167503344</v>
      </c>
      <c r="CL19" s="307">
        <v>57</v>
      </c>
      <c r="CM19" s="113" t="s">
        <v>641</v>
      </c>
      <c r="CN19" s="206">
        <v>1.7785763358229048</v>
      </c>
      <c r="CO19" s="205">
        <f t="shared" si="9"/>
        <v>1778.5763358229046</v>
      </c>
      <c r="CQ19" s="306">
        <v>43</v>
      </c>
      <c r="CR19" s="113" t="s">
        <v>332</v>
      </c>
      <c r="CS19" s="205">
        <v>26.495933769733249</v>
      </c>
      <c r="CU19" s="306">
        <v>44</v>
      </c>
      <c r="CV19" s="113" t="s">
        <v>176</v>
      </c>
      <c r="CW19" s="206">
        <v>5.3441529031399239E-2</v>
      </c>
      <c r="CX19" s="205">
        <f t="shared" si="10"/>
        <v>53.441529031399241</v>
      </c>
      <c r="CZ19" s="304">
        <v>34</v>
      </c>
      <c r="DA19" s="113" t="s">
        <v>604</v>
      </c>
      <c r="DB19" s="205">
        <f>('nutrient content'!AA36/9)/calculations!C39</f>
        <v>6.5828367387878286</v>
      </c>
      <c r="DD19" s="303">
        <v>15</v>
      </c>
      <c r="DE19" s="113" t="s">
        <v>458</v>
      </c>
      <c r="DF19" s="206">
        <v>1.4136831557982888E-2</v>
      </c>
      <c r="DG19" s="205">
        <f t="shared" si="11"/>
        <v>14.136831557982887</v>
      </c>
      <c r="DI19" s="303">
        <v>11</v>
      </c>
      <c r="DJ19" s="113" t="s">
        <v>564</v>
      </c>
      <c r="DK19" s="205">
        <v>83.790835444583138</v>
      </c>
      <c r="DM19" s="302">
        <v>3</v>
      </c>
      <c r="DN19" s="113" t="s">
        <v>29</v>
      </c>
      <c r="DO19" s="206">
        <v>0.23088810655429468</v>
      </c>
      <c r="DP19" s="205">
        <f t="shared" si="12"/>
        <v>230.88810655429467</v>
      </c>
    </row>
    <row r="20" spans="1:120" s="204" customFormat="1" x14ac:dyDescent="0.2">
      <c r="A20" s="303">
        <v>14</v>
      </c>
      <c r="B20" s="308" t="s">
        <v>456</v>
      </c>
      <c r="C20" s="309">
        <v>720.98398315571603</v>
      </c>
      <c r="E20" s="304">
        <v>35</v>
      </c>
      <c r="F20" s="113" t="s">
        <v>563</v>
      </c>
      <c r="G20" s="205">
        <v>202.08248738903688</v>
      </c>
      <c r="I20" s="306">
        <v>51</v>
      </c>
      <c r="J20" s="113" t="s">
        <v>330</v>
      </c>
      <c r="K20" s="205">
        <v>0.485846844645067</v>
      </c>
      <c r="L20" s="205">
        <f t="shared" si="0"/>
        <v>485.84684464506699</v>
      </c>
      <c r="N20" s="306">
        <v>48</v>
      </c>
      <c r="O20" s="113" t="s">
        <v>155</v>
      </c>
      <c r="P20" s="205">
        <v>7.9756511437073989</v>
      </c>
      <c r="R20" s="306">
        <v>52</v>
      </c>
      <c r="S20" s="113" t="s">
        <v>422</v>
      </c>
      <c r="T20" s="205">
        <v>1.6324727927069259E-2</v>
      </c>
      <c r="U20" s="205">
        <f t="shared" si="1"/>
        <v>16.324727927069258</v>
      </c>
      <c r="W20" s="306">
        <v>48</v>
      </c>
      <c r="X20" s="113" t="s">
        <v>155</v>
      </c>
      <c r="Y20" s="205">
        <v>121.58314403151184</v>
      </c>
      <c r="AA20" s="306">
        <v>47</v>
      </c>
      <c r="AB20" s="113" t="s">
        <v>603</v>
      </c>
      <c r="AC20" s="205">
        <v>0.3406144227815745</v>
      </c>
      <c r="AD20" s="205">
        <f t="shared" si="2"/>
        <v>340.61442278157449</v>
      </c>
      <c r="AF20" s="302">
        <v>3</v>
      </c>
      <c r="AG20" s="113" t="s">
        <v>29</v>
      </c>
      <c r="AH20" s="205">
        <v>285.31089953930763</v>
      </c>
      <c r="AJ20" s="306">
        <v>49</v>
      </c>
      <c r="AK20" s="113" t="s">
        <v>48</v>
      </c>
      <c r="AL20" s="205">
        <v>0.71466924556805644</v>
      </c>
      <c r="AM20" s="205">
        <f t="shared" si="3"/>
        <v>714.66924556805645</v>
      </c>
      <c r="AO20" s="305">
        <v>41</v>
      </c>
      <c r="AP20" s="113" t="s">
        <v>584</v>
      </c>
      <c r="AQ20" s="205">
        <v>36.454818817835537</v>
      </c>
      <c r="AS20" s="306">
        <v>45</v>
      </c>
      <c r="AT20" s="113" t="s">
        <v>448</v>
      </c>
      <c r="AU20" s="205">
        <v>7.0625740917640525E-2</v>
      </c>
      <c r="AV20" s="205">
        <f t="shared" si="4"/>
        <v>70.625740917640528</v>
      </c>
      <c r="AX20" s="305">
        <v>41</v>
      </c>
      <c r="AY20" s="113" t="s">
        <v>584</v>
      </c>
      <c r="AZ20" s="205">
        <v>0.66045952643403882</v>
      </c>
      <c r="BB20" s="305">
        <v>38</v>
      </c>
      <c r="BC20" s="113" t="s">
        <v>605</v>
      </c>
      <c r="BD20" s="206">
        <v>1.8030239402666011E-3</v>
      </c>
      <c r="BE20" s="205">
        <f t="shared" si="5"/>
        <v>1.8030239402666011</v>
      </c>
      <c r="BG20" s="303">
        <v>21</v>
      </c>
      <c r="BH20" s="113" t="s">
        <v>580</v>
      </c>
      <c r="BI20" s="205">
        <v>1.729294200592298</v>
      </c>
      <c r="BK20" s="303">
        <v>18</v>
      </c>
      <c r="BL20" s="113" t="s">
        <v>578</v>
      </c>
      <c r="BM20" s="206">
        <v>4.8941757974781614E-3</v>
      </c>
      <c r="BN20" s="205">
        <f t="shared" si="6"/>
        <v>4.8941757974781614</v>
      </c>
      <c r="BP20" s="306">
        <v>51</v>
      </c>
      <c r="BQ20" s="113" t="s">
        <v>330</v>
      </c>
      <c r="BR20" s="205">
        <v>794.28215156190856</v>
      </c>
      <c r="BT20" s="303">
        <v>13</v>
      </c>
      <c r="BU20" s="113" t="s">
        <v>565</v>
      </c>
      <c r="BV20" s="205">
        <v>2.3436521381032493</v>
      </c>
      <c r="BW20" s="205">
        <f t="shared" si="7"/>
        <v>2343.6521381032494</v>
      </c>
      <c r="BY20" s="306">
        <v>49</v>
      </c>
      <c r="BZ20" s="113" t="s">
        <v>48</v>
      </c>
      <c r="CA20" s="205">
        <v>4.7019942180243488</v>
      </c>
      <c r="CC20" s="303">
        <v>22</v>
      </c>
      <c r="CD20" s="113" t="s">
        <v>430</v>
      </c>
      <c r="CE20" s="206">
        <v>1.0543229285062031E-2</v>
      </c>
      <c r="CF20" s="205">
        <f t="shared" si="8"/>
        <v>10.543229285062031</v>
      </c>
      <c r="CH20" s="304">
        <v>33</v>
      </c>
      <c r="CI20" s="113" t="s">
        <v>331</v>
      </c>
      <c r="CJ20" s="205">
        <v>911.77790459709843</v>
      </c>
      <c r="CL20" s="303">
        <v>21</v>
      </c>
      <c r="CM20" s="113" t="s">
        <v>580</v>
      </c>
      <c r="CN20" s="206">
        <v>1.7326444771798122</v>
      </c>
      <c r="CO20" s="205">
        <f t="shared" si="9"/>
        <v>1732.6444771798122</v>
      </c>
      <c r="CQ20" s="304">
        <v>31</v>
      </c>
      <c r="CR20" s="113" t="s">
        <v>315</v>
      </c>
      <c r="CS20" s="205">
        <v>26.246391263115552</v>
      </c>
      <c r="CU20" s="303">
        <v>19</v>
      </c>
      <c r="CV20" s="113" t="s">
        <v>555</v>
      </c>
      <c r="CW20" s="206">
        <v>5.2102662277611296E-2</v>
      </c>
      <c r="CX20" s="205">
        <f t="shared" si="10"/>
        <v>52.102662277611294</v>
      </c>
      <c r="CZ20" s="303">
        <v>21</v>
      </c>
      <c r="DA20" s="113" t="s">
        <v>580</v>
      </c>
      <c r="DB20" s="205">
        <f>('nutrient content'!AA23/9)/calculations!C26</f>
        <v>6.1429469825137666</v>
      </c>
      <c r="DD20" s="306">
        <v>52</v>
      </c>
      <c r="DE20" s="113" t="s">
        <v>422</v>
      </c>
      <c r="DF20" s="206">
        <v>1.3942733302679113E-2</v>
      </c>
      <c r="DG20" s="205">
        <f t="shared" si="11"/>
        <v>13.942733302679112</v>
      </c>
      <c r="DI20" s="304">
        <v>33</v>
      </c>
      <c r="DJ20" s="113" t="s">
        <v>331</v>
      </c>
      <c r="DK20" s="205">
        <v>82.274295922772367</v>
      </c>
      <c r="DM20" s="303">
        <v>18</v>
      </c>
      <c r="DN20" s="113" t="s">
        <v>578</v>
      </c>
      <c r="DO20" s="206">
        <v>0.2034214307299507</v>
      </c>
      <c r="DP20" s="205">
        <f t="shared" si="12"/>
        <v>203.42143072995069</v>
      </c>
    </row>
    <row r="21" spans="1:120" s="204" customFormat="1" x14ac:dyDescent="0.2">
      <c r="A21" s="307">
        <v>58</v>
      </c>
      <c r="B21" s="308" t="s">
        <v>326</v>
      </c>
      <c r="C21" s="309">
        <v>717.47578083686903</v>
      </c>
      <c r="E21" s="306">
        <v>52</v>
      </c>
      <c r="F21" s="113" t="s">
        <v>422</v>
      </c>
      <c r="G21" s="205">
        <v>183.63019760897268</v>
      </c>
      <c r="I21" s="303">
        <v>12</v>
      </c>
      <c r="J21" s="113" t="s">
        <v>454</v>
      </c>
      <c r="K21" s="205">
        <v>0.46225898465248438</v>
      </c>
      <c r="L21" s="205">
        <f t="shared" si="0"/>
        <v>462.2589846524844</v>
      </c>
      <c r="N21" s="306">
        <v>44</v>
      </c>
      <c r="O21" s="113" t="s">
        <v>176</v>
      </c>
      <c r="P21" s="205">
        <v>7.7289584131226352</v>
      </c>
      <c r="R21" s="304">
        <v>30</v>
      </c>
      <c r="S21" s="113" t="s">
        <v>322</v>
      </c>
      <c r="T21" s="205">
        <v>1.5877550508862744E-2</v>
      </c>
      <c r="U21" s="205">
        <f t="shared" si="1"/>
        <v>15.877550508862745</v>
      </c>
      <c r="W21" s="306">
        <v>43</v>
      </c>
      <c r="X21" s="113" t="s">
        <v>332</v>
      </c>
      <c r="Y21" s="205">
        <v>109.65412198901133</v>
      </c>
      <c r="AA21" s="304">
        <v>25</v>
      </c>
      <c r="AB21" s="113" t="s">
        <v>602</v>
      </c>
      <c r="AC21" s="205">
        <v>0.33525577659587752</v>
      </c>
      <c r="AD21" s="205">
        <f t="shared" si="2"/>
        <v>335.25577659587753</v>
      </c>
      <c r="AF21" s="306">
        <v>49</v>
      </c>
      <c r="AG21" s="113" t="s">
        <v>48</v>
      </c>
      <c r="AH21" s="205">
        <v>259.31493853998984</v>
      </c>
      <c r="AJ21" s="303">
        <v>8</v>
      </c>
      <c r="AK21" s="113" t="s">
        <v>639</v>
      </c>
      <c r="AL21" s="205">
        <v>0.62210579944006739</v>
      </c>
      <c r="AM21" s="205">
        <f t="shared" si="3"/>
        <v>622.10579944006736</v>
      </c>
      <c r="AO21" s="307">
        <v>57</v>
      </c>
      <c r="AP21" s="113" t="s">
        <v>641</v>
      </c>
      <c r="AQ21" s="205">
        <v>34.330987975684458</v>
      </c>
      <c r="AS21" s="304">
        <v>27</v>
      </c>
      <c r="AT21" s="113" t="s">
        <v>457</v>
      </c>
      <c r="AU21" s="205">
        <v>5.3922313706212095E-2</v>
      </c>
      <c r="AV21" s="205">
        <f t="shared" si="4"/>
        <v>53.922313706212094</v>
      </c>
      <c r="AX21" s="303">
        <v>15</v>
      </c>
      <c r="AY21" s="113" t="s">
        <v>458</v>
      </c>
      <c r="AZ21" s="205">
        <v>0.64317046358536578</v>
      </c>
      <c r="BB21" s="303">
        <v>17</v>
      </c>
      <c r="BC21" s="113" t="s">
        <v>554</v>
      </c>
      <c r="BD21" s="206">
        <v>1.7023437835810065E-3</v>
      </c>
      <c r="BE21" s="205">
        <f t="shared" si="5"/>
        <v>1.7023437835810065</v>
      </c>
      <c r="BG21" s="302">
        <v>3</v>
      </c>
      <c r="BH21" s="113" t="s">
        <v>29</v>
      </c>
      <c r="BI21" s="205">
        <v>1.7061413416522544</v>
      </c>
      <c r="BK21" s="302">
        <v>5</v>
      </c>
      <c r="BL21" s="113" t="s">
        <v>37</v>
      </c>
      <c r="BM21" s="206">
        <v>4.3307038174105464E-3</v>
      </c>
      <c r="BN21" s="205">
        <f t="shared" si="6"/>
        <v>4.3307038174105461</v>
      </c>
      <c r="BP21" s="305">
        <v>38</v>
      </c>
      <c r="BQ21" s="113" t="s">
        <v>605</v>
      </c>
      <c r="BR21" s="205">
        <v>790.55048788204545</v>
      </c>
      <c r="BT21" s="303">
        <v>12</v>
      </c>
      <c r="BU21" s="113" t="s">
        <v>454</v>
      </c>
      <c r="BV21" s="205">
        <v>2.3011914528255706</v>
      </c>
      <c r="BW21" s="205">
        <f t="shared" si="7"/>
        <v>2301.1914528255707</v>
      </c>
      <c r="BY21" s="303">
        <v>14</v>
      </c>
      <c r="BZ21" s="113" t="s">
        <v>456</v>
      </c>
      <c r="CA21" s="205">
        <v>4.6497113399052301</v>
      </c>
      <c r="CC21" s="304">
        <v>37</v>
      </c>
      <c r="CD21" s="113" t="s">
        <v>455</v>
      </c>
      <c r="CE21" s="206">
        <v>1.0116225370637427E-2</v>
      </c>
      <c r="CF21" s="205">
        <f t="shared" si="8"/>
        <v>10.116225370637427</v>
      </c>
      <c r="CH21" s="303">
        <v>21</v>
      </c>
      <c r="CI21" s="113" t="s">
        <v>580</v>
      </c>
      <c r="CJ21" s="205">
        <v>829.7683459483336</v>
      </c>
      <c r="CL21" s="304">
        <v>25</v>
      </c>
      <c r="CM21" s="113" t="s">
        <v>602</v>
      </c>
      <c r="CN21" s="206">
        <v>1.6471585042401229</v>
      </c>
      <c r="CO21" s="205">
        <f t="shared" si="9"/>
        <v>1647.158504240123</v>
      </c>
      <c r="CQ21" s="302">
        <v>4</v>
      </c>
      <c r="CR21" s="113" t="s">
        <v>36</v>
      </c>
      <c r="CS21" s="205">
        <v>25.823611806282667</v>
      </c>
      <c r="CU21" s="303">
        <v>11</v>
      </c>
      <c r="CV21" s="113" t="s">
        <v>564</v>
      </c>
      <c r="CW21" s="206">
        <v>5.1927124715352657E-2</v>
      </c>
      <c r="CX21" s="205">
        <f t="shared" si="10"/>
        <v>51.927124715352655</v>
      </c>
      <c r="CZ21" s="304">
        <v>35</v>
      </c>
      <c r="DA21" s="113" t="s">
        <v>563</v>
      </c>
      <c r="DB21" s="205">
        <f>('nutrient content'!AA37/9)/calculations!C40</f>
        <v>5.8580119579350978</v>
      </c>
      <c r="DD21" s="303">
        <v>24</v>
      </c>
      <c r="DE21" s="113" t="s">
        <v>15</v>
      </c>
      <c r="DF21" s="206">
        <v>1.3832623609376074E-2</v>
      </c>
      <c r="DG21" s="205">
        <f t="shared" si="11"/>
        <v>13.832623609376075</v>
      </c>
      <c r="DI21" s="302">
        <v>2</v>
      </c>
      <c r="DJ21" s="113" t="s">
        <v>316</v>
      </c>
      <c r="DK21" s="205">
        <v>81.610172168451982</v>
      </c>
      <c r="DM21" s="303">
        <v>21</v>
      </c>
      <c r="DN21" s="113" t="s">
        <v>580</v>
      </c>
      <c r="DO21" s="206">
        <v>0.1816225903008854</v>
      </c>
      <c r="DP21" s="205">
        <f t="shared" si="12"/>
        <v>181.62259030088541</v>
      </c>
    </row>
    <row r="22" spans="1:120" s="204" customFormat="1" x14ac:dyDescent="0.2">
      <c r="A22" s="303">
        <v>18</v>
      </c>
      <c r="B22" s="308" t="s">
        <v>578</v>
      </c>
      <c r="C22" s="309">
        <v>710.52137414879553</v>
      </c>
      <c r="E22" s="304">
        <v>33</v>
      </c>
      <c r="F22" s="113" t="s">
        <v>331</v>
      </c>
      <c r="G22" s="205">
        <v>175.2195903055553</v>
      </c>
      <c r="I22" s="304">
        <v>26</v>
      </c>
      <c r="J22" s="113" t="s">
        <v>329</v>
      </c>
      <c r="K22" s="205">
        <v>0.43610072972306196</v>
      </c>
      <c r="L22" s="205">
        <f t="shared" si="0"/>
        <v>436.10072972306199</v>
      </c>
      <c r="N22" s="304">
        <v>35</v>
      </c>
      <c r="O22" s="113" t="s">
        <v>563</v>
      </c>
      <c r="P22" s="205">
        <v>7.1277132018544203</v>
      </c>
      <c r="R22" s="306">
        <v>43</v>
      </c>
      <c r="S22" s="113" t="s">
        <v>332</v>
      </c>
      <c r="T22" s="205">
        <v>1.575920416857474E-2</v>
      </c>
      <c r="U22" s="205">
        <f t="shared" si="1"/>
        <v>15.75920416857474</v>
      </c>
      <c r="W22" s="304">
        <v>32</v>
      </c>
      <c r="X22" s="113" t="s">
        <v>429</v>
      </c>
      <c r="Y22" s="205">
        <v>106.98559138128655</v>
      </c>
      <c r="AA22" s="304">
        <v>36</v>
      </c>
      <c r="AB22" s="113" t="s">
        <v>582</v>
      </c>
      <c r="AC22" s="205">
        <v>0.29751927919507531</v>
      </c>
      <c r="AD22" s="205">
        <f t="shared" si="2"/>
        <v>297.51927919507534</v>
      </c>
      <c r="AF22" s="306">
        <v>43</v>
      </c>
      <c r="AG22" s="113" t="s">
        <v>332</v>
      </c>
      <c r="AH22" s="205">
        <v>250.43583059103634</v>
      </c>
      <c r="AJ22" s="302">
        <v>3</v>
      </c>
      <c r="AK22" s="113" t="s">
        <v>29</v>
      </c>
      <c r="AL22" s="205">
        <v>0.59571922158756696</v>
      </c>
      <c r="AM22" s="205">
        <f t="shared" si="3"/>
        <v>595.71922158756695</v>
      </c>
      <c r="AO22" s="304">
        <v>27</v>
      </c>
      <c r="AP22" s="113" t="s">
        <v>457</v>
      </c>
      <c r="AQ22" s="205">
        <v>33.764175006551156</v>
      </c>
      <c r="AS22" s="303">
        <v>22</v>
      </c>
      <c r="AT22" s="113" t="s">
        <v>430</v>
      </c>
      <c r="AU22" s="205">
        <v>4.8447065515904386E-2</v>
      </c>
      <c r="AV22" s="205">
        <f t="shared" si="4"/>
        <v>48.447065515904384</v>
      </c>
      <c r="AX22" s="303">
        <v>20</v>
      </c>
      <c r="AY22" s="113" t="s">
        <v>579</v>
      </c>
      <c r="AZ22" s="205">
        <v>0.61898380823633303</v>
      </c>
      <c r="BB22" s="306">
        <v>49</v>
      </c>
      <c r="BC22" s="113" t="s">
        <v>48</v>
      </c>
      <c r="BD22" s="206">
        <v>1.6008073799635011E-3</v>
      </c>
      <c r="BE22" s="205">
        <f t="shared" si="5"/>
        <v>1.600807379963501</v>
      </c>
      <c r="BG22" s="302">
        <v>4</v>
      </c>
      <c r="BH22" s="113" t="s">
        <v>36</v>
      </c>
      <c r="BI22" s="205">
        <v>1.6127696480691323</v>
      </c>
      <c r="BK22" s="303">
        <v>19</v>
      </c>
      <c r="BL22" s="113" t="s">
        <v>555</v>
      </c>
      <c r="BM22" s="206">
        <v>4.0137120088624793E-3</v>
      </c>
      <c r="BN22" s="205">
        <f t="shared" si="6"/>
        <v>4.0137120088624796</v>
      </c>
      <c r="BP22" s="306">
        <v>52</v>
      </c>
      <c r="BQ22" s="113" t="s">
        <v>422</v>
      </c>
      <c r="BR22" s="205">
        <v>780.24829663273704</v>
      </c>
      <c r="BT22" s="303">
        <v>23</v>
      </c>
      <c r="BU22" s="113" t="s">
        <v>581</v>
      </c>
      <c r="BV22" s="205">
        <v>2.2635429282382198</v>
      </c>
      <c r="BW22" s="205">
        <f t="shared" si="7"/>
        <v>2263.5429282382197</v>
      </c>
      <c r="BY22" s="304">
        <v>32</v>
      </c>
      <c r="BZ22" s="113" t="s">
        <v>429</v>
      </c>
      <c r="CA22" s="205">
        <v>4.6107692124337349</v>
      </c>
      <c r="CC22" s="303">
        <v>8</v>
      </c>
      <c r="CD22" s="113" t="s">
        <v>639</v>
      </c>
      <c r="CE22" s="206">
        <v>1.0053857110179023E-2</v>
      </c>
      <c r="CF22" s="205">
        <f t="shared" si="8"/>
        <v>10.053857110179024</v>
      </c>
      <c r="CH22" s="306">
        <v>42</v>
      </c>
      <c r="CI22" s="113" t="s">
        <v>230</v>
      </c>
      <c r="CJ22" s="205">
        <v>792.47055381852738</v>
      </c>
      <c r="CL22" s="303">
        <v>7</v>
      </c>
      <c r="CM22" s="113" t="s">
        <v>638</v>
      </c>
      <c r="CN22" s="206">
        <v>1.6066994396276892</v>
      </c>
      <c r="CO22" s="205">
        <f t="shared" si="9"/>
        <v>1606.6994396276893</v>
      </c>
      <c r="CQ22" s="303">
        <v>21</v>
      </c>
      <c r="CR22" s="113" t="s">
        <v>580</v>
      </c>
      <c r="CS22" s="205">
        <v>25.798295863606761</v>
      </c>
      <c r="CU22" s="303">
        <v>17</v>
      </c>
      <c r="CV22" s="113" t="s">
        <v>554</v>
      </c>
      <c r="CW22" s="206">
        <v>5.0239173372325779E-2</v>
      </c>
      <c r="CX22" s="205">
        <f t="shared" si="10"/>
        <v>50.23917337232578</v>
      </c>
      <c r="CZ22" s="303">
        <v>7</v>
      </c>
      <c r="DA22" s="113" t="s">
        <v>638</v>
      </c>
      <c r="DB22" s="205">
        <f>('nutrient content'!AA9/9)/calculations!C12</f>
        <v>5.5863325430478978</v>
      </c>
      <c r="DD22" s="303">
        <v>14</v>
      </c>
      <c r="DE22" s="113" t="s">
        <v>456</v>
      </c>
      <c r="DF22" s="206">
        <v>1.3697047706341175E-2</v>
      </c>
      <c r="DG22" s="205">
        <f t="shared" si="11"/>
        <v>13.697047706341175</v>
      </c>
      <c r="DI22" s="304">
        <v>36</v>
      </c>
      <c r="DJ22" s="113" t="s">
        <v>582</v>
      </c>
      <c r="DK22" s="205">
        <v>81.083799120153557</v>
      </c>
      <c r="DM22" s="302">
        <v>1</v>
      </c>
      <c r="DN22" s="113" t="s">
        <v>577</v>
      </c>
      <c r="DO22" s="206">
        <v>0.16576611085089263</v>
      </c>
      <c r="DP22" s="205">
        <f t="shared" si="12"/>
        <v>165.76611085089263</v>
      </c>
    </row>
    <row r="23" spans="1:120" s="204" customFormat="1" x14ac:dyDescent="0.2">
      <c r="A23" s="304">
        <v>29</v>
      </c>
      <c r="B23" s="308" t="s">
        <v>615</v>
      </c>
      <c r="C23" s="309">
        <v>671.22824200407615</v>
      </c>
      <c r="E23" s="306">
        <v>45</v>
      </c>
      <c r="F23" s="113" t="s">
        <v>448</v>
      </c>
      <c r="G23" s="205">
        <v>174.90347309447878</v>
      </c>
      <c r="I23" s="305">
        <v>39</v>
      </c>
      <c r="J23" s="113" t="s">
        <v>583</v>
      </c>
      <c r="K23" s="205">
        <v>0.42747867907993303</v>
      </c>
      <c r="L23" s="205">
        <f t="shared" si="0"/>
        <v>427.47867907993304</v>
      </c>
      <c r="N23" s="306">
        <v>52</v>
      </c>
      <c r="O23" s="113" t="s">
        <v>422</v>
      </c>
      <c r="P23" s="205">
        <v>7.0590043128623492</v>
      </c>
      <c r="R23" s="303">
        <v>24</v>
      </c>
      <c r="S23" s="113" t="s">
        <v>15</v>
      </c>
      <c r="T23" s="205">
        <v>1.1836941356278975E-2</v>
      </c>
      <c r="U23" s="205">
        <f t="shared" si="1"/>
        <v>11.836941356278976</v>
      </c>
      <c r="W23" s="305">
        <v>38</v>
      </c>
      <c r="X23" s="113" t="s">
        <v>605</v>
      </c>
      <c r="Y23" s="205">
        <v>98.953225205099599</v>
      </c>
      <c r="AA23" s="304">
        <v>35</v>
      </c>
      <c r="AB23" s="113" t="s">
        <v>563</v>
      </c>
      <c r="AC23" s="205">
        <v>0.24122079247100237</v>
      </c>
      <c r="AD23" s="205">
        <f t="shared" si="2"/>
        <v>241.22079247100237</v>
      </c>
      <c r="AF23" s="303">
        <v>8</v>
      </c>
      <c r="AG23" s="113" t="s">
        <v>639</v>
      </c>
      <c r="AH23" s="205">
        <v>241.82894160886977</v>
      </c>
      <c r="AJ23" s="302">
        <v>4</v>
      </c>
      <c r="AK23" s="113" t="s">
        <v>36</v>
      </c>
      <c r="AL23" s="205">
        <v>0.54854265028768023</v>
      </c>
      <c r="AM23" s="205">
        <f t="shared" si="3"/>
        <v>548.5426502876802</v>
      </c>
      <c r="AO23" s="307">
        <v>54</v>
      </c>
      <c r="AP23" s="113" t="s">
        <v>49</v>
      </c>
      <c r="AQ23" s="205">
        <v>30.489232627591161</v>
      </c>
      <c r="AS23" s="306">
        <v>42</v>
      </c>
      <c r="AT23" s="113" t="s">
        <v>230</v>
      </c>
      <c r="AU23" s="205">
        <v>4.6850461562449111E-2</v>
      </c>
      <c r="AV23" s="205">
        <f t="shared" si="4"/>
        <v>46.850461562449112</v>
      </c>
      <c r="AX23" s="306">
        <v>49</v>
      </c>
      <c r="AY23" s="113" t="s">
        <v>48</v>
      </c>
      <c r="AZ23" s="205">
        <v>0.58084669226201791</v>
      </c>
      <c r="BB23" s="303">
        <v>22</v>
      </c>
      <c r="BC23" s="113" t="s">
        <v>430</v>
      </c>
      <c r="BD23" s="206">
        <v>1.5107715201980543E-3</v>
      </c>
      <c r="BE23" s="205">
        <f t="shared" si="5"/>
        <v>1.5107715201980543</v>
      </c>
      <c r="BG23" s="303">
        <v>13</v>
      </c>
      <c r="BH23" s="113" t="s">
        <v>565</v>
      </c>
      <c r="BI23" s="205">
        <v>1.5506762653634301</v>
      </c>
      <c r="BK23" s="303">
        <v>21</v>
      </c>
      <c r="BL23" s="113" t="s">
        <v>580</v>
      </c>
      <c r="BM23" s="206">
        <v>3.6109500449199926E-3</v>
      </c>
      <c r="BN23" s="205">
        <f t="shared" si="6"/>
        <v>3.6109500449199925</v>
      </c>
      <c r="BP23" s="302">
        <v>4</v>
      </c>
      <c r="BQ23" s="113" t="s">
        <v>36</v>
      </c>
      <c r="BR23" s="205">
        <v>768.7275012542143</v>
      </c>
      <c r="BT23" s="306">
        <v>42</v>
      </c>
      <c r="BU23" s="113" t="s">
        <v>230</v>
      </c>
      <c r="BV23" s="205">
        <v>2.172952389948323</v>
      </c>
      <c r="BW23" s="205">
        <f t="shared" si="7"/>
        <v>2172.9523899483229</v>
      </c>
      <c r="BY23" s="304">
        <v>34</v>
      </c>
      <c r="BZ23" s="113" t="s">
        <v>604</v>
      </c>
      <c r="CA23" s="205">
        <v>4.3600665688362383</v>
      </c>
      <c r="CC23" s="306">
        <v>48</v>
      </c>
      <c r="CD23" s="113" t="s">
        <v>155</v>
      </c>
      <c r="CE23" s="206">
        <v>9.4199447969298081E-3</v>
      </c>
      <c r="CF23" s="205">
        <f t="shared" si="8"/>
        <v>9.4199447969298085</v>
      </c>
      <c r="CH23" s="306">
        <v>43</v>
      </c>
      <c r="CI23" s="113" t="s">
        <v>332</v>
      </c>
      <c r="CJ23" s="205">
        <v>768.93095561376549</v>
      </c>
      <c r="CL23" s="304">
        <v>27</v>
      </c>
      <c r="CM23" s="113" t="s">
        <v>457</v>
      </c>
      <c r="CN23" s="206">
        <v>1.5814292918781552</v>
      </c>
      <c r="CO23" s="205">
        <f t="shared" si="9"/>
        <v>1581.4292918781553</v>
      </c>
      <c r="CQ23" s="304">
        <v>25</v>
      </c>
      <c r="CR23" s="113" t="s">
        <v>602</v>
      </c>
      <c r="CS23" s="205">
        <v>25.6371979678771</v>
      </c>
      <c r="CU23" s="304">
        <v>34</v>
      </c>
      <c r="CV23" s="113" t="s">
        <v>604</v>
      </c>
      <c r="CW23" s="206">
        <v>4.7967019735197805E-2</v>
      </c>
      <c r="CX23" s="205">
        <f t="shared" si="10"/>
        <v>47.967019735197802</v>
      </c>
      <c r="CZ23" s="304">
        <v>37</v>
      </c>
      <c r="DA23" s="113" t="s">
        <v>455</v>
      </c>
      <c r="DB23" s="205">
        <f>('nutrient content'!AA39/9)/calculations!C42</f>
        <v>3.8263699800805444</v>
      </c>
      <c r="DD23" s="303">
        <v>8</v>
      </c>
      <c r="DE23" s="113" t="s">
        <v>639</v>
      </c>
      <c r="DF23" s="206">
        <v>1.3423883147901798E-2</v>
      </c>
      <c r="DG23" s="205">
        <f t="shared" si="11"/>
        <v>13.423883147901797</v>
      </c>
      <c r="DI23" s="303">
        <v>12</v>
      </c>
      <c r="DJ23" s="113" t="s">
        <v>454</v>
      </c>
      <c r="DK23" s="205">
        <v>71.570533794268201</v>
      </c>
      <c r="DM23" s="302">
        <v>4</v>
      </c>
      <c r="DN23" s="113" t="s">
        <v>36</v>
      </c>
      <c r="DO23" s="206">
        <v>0.15881822668700932</v>
      </c>
      <c r="DP23" s="205">
        <f t="shared" si="12"/>
        <v>158.81822668700931</v>
      </c>
    </row>
    <row r="24" spans="1:120" s="204" customFormat="1" x14ac:dyDescent="0.2">
      <c r="A24" s="304">
        <v>32</v>
      </c>
      <c r="B24" s="308" t="s">
        <v>429</v>
      </c>
      <c r="C24" s="309">
        <v>648.3983634183744</v>
      </c>
      <c r="E24" s="304">
        <v>31</v>
      </c>
      <c r="F24" s="113" t="s">
        <v>315</v>
      </c>
      <c r="G24" s="205">
        <v>171.80262612354525</v>
      </c>
      <c r="I24" s="306">
        <v>52</v>
      </c>
      <c r="J24" s="113" t="s">
        <v>422</v>
      </c>
      <c r="K24" s="205">
        <v>0.42466513438704828</v>
      </c>
      <c r="L24" s="205">
        <f t="shared" si="0"/>
        <v>424.66513438704828</v>
      </c>
      <c r="N24" s="306">
        <v>49</v>
      </c>
      <c r="O24" s="113" t="s">
        <v>48</v>
      </c>
      <c r="P24" s="205">
        <v>6.6256314385095836</v>
      </c>
      <c r="R24" s="304">
        <v>26</v>
      </c>
      <c r="S24" s="113" t="s">
        <v>329</v>
      </c>
      <c r="T24" s="205">
        <v>1.0833122696769816E-2</v>
      </c>
      <c r="U24" s="205">
        <f t="shared" si="1"/>
        <v>10.833122696769816</v>
      </c>
      <c r="W24" s="303">
        <v>21</v>
      </c>
      <c r="X24" s="113" t="s">
        <v>580</v>
      </c>
      <c r="Y24" s="205">
        <v>98.098677111477471</v>
      </c>
      <c r="AA24" s="306">
        <v>52</v>
      </c>
      <c r="AB24" s="113" t="s">
        <v>422</v>
      </c>
      <c r="AC24" s="205">
        <v>0.22140815944697731</v>
      </c>
      <c r="AD24" s="205">
        <f t="shared" si="2"/>
        <v>221.40815944697732</v>
      </c>
      <c r="AF24" s="303">
        <v>14</v>
      </c>
      <c r="AG24" s="113" t="s">
        <v>456</v>
      </c>
      <c r="AH24" s="205">
        <v>213.75129029568998</v>
      </c>
      <c r="AJ24" s="306">
        <v>48</v>
      </c>
      <c r="AK24" s="113" t="s">
        <v>155</v>
      </c>
      <c r="AL24" s="205">
        <v>0.50266109369627066</v>
      </c>
      <c r="AM24" s="205">
        <f t="shared" si="3"/>
        <v>502.66109369627065</v>
      </c>
      <c r="AO24" s="304">
        <v>37</v>
      </c>
      <c r="AP24" s="113" t="s">
        <v>455</v>
      </c>
      <c r="AQ24" s="205">
        <v>19.397312124003548</v>
      </c>
      <c r="AS24" s="307">
        <v>54</v>
      </c>
      <c r="AT24" s="113" t="s">
        <v>49</v>
      </c>
      <c r="AU24" s="205">
        <v>3.0495835147814423E-2</v>
      </c>
      <c r="AV24" s="205">
        <f t="shared" si="4"/>
        <v>30.495835147814422</v>
      </c>
      <c r="AX24" s="303">
        <v>12</v>
      </c>
      <c r="AY24" s="113" t="s">
        <v>454</v>
      </c>
      <c r="AZ24" s="205">
        <v>0.57016911418034211</v>
      </c>
      <c r="BB24" s="305">
        <v>39</v>
      </c>
      <c r="BC24" s="113" t="s">
        <v>583</v>
      </c>
      <c r="BD24" s="206">
        <v>1.4758254027174074E-3</v>
      </c>
      <c r="BE24" s="205">
        <f t="shared" si="5"/>
        <v>1.4758254027174074</v>
      </c>
      <c r="BG24" s="303">
        <v>14</v>
      </c>
      <c r="BH24" s="113" t="s">
        <v>456</v>
      </c>
      <c r="BI24" s="205">
        <v>1.4052234507769061</v>
      </c>
      <c r="BK24" s="302">
        <v>3</v>
      </c>
      <c r="BL24" s="113" t="s">
        <v>29</v>
      </c>
      <c r="BM24" s="206">
        <v>3.5623637008211106E-3</v>
      </c>
      <c r="BN24" s="205">
        <f t="shared" si="6"/>
        <v>3.5623637008211104</v>
      </c>
      <c r="BP24" s="306">
        <v>50</v>
      </c>
      <c r="BQ24" s="113" t="s">
        <v>423</v>
      </c>
      <c r="BR24" s="205">
        <v>764.15903457311663</v>
      </c>
      <c r="BT24" s="302">
        <v>1</v>
      </c>
      <c r="BU24" s="113" t="s">
        <v>577</v>
      </c>
      <c r="BV24" s="205">
        <v>2.1131478022808663</v>
      </c>
      <c r="BW24" s="205">
        <f t="shared" si="7"/>
        <v>2113.1478022808665</v>
      </c>
      <c r="BY24" s="306">
        <v>43</v>
      </c>
      <c r="BZ24" s="113" t="s">
        <v>332</v>
      </c>
      <c r="CA24" s="205">
        <v>4.2092635187543026</v>
      </c>
      <c r="CC24" s="306">
        <v>47</v>
      </c>
      <c r="CD24" s="113" t="s">
        <v>603</v>
      </c>
      <c r="CE24" s="206">
        <v>8.8060354825827344E-3</v>
      </c>
      <c r="CF24" s="205">
        <f t="shared" si="8"/>
        <v>8.8060354825827343</v>
      </c>
      <c r="CH24" s="304">
        <v>29</v>
      </c>
      <c r="CI24" s="113" t="s">
        <v>615</v>
      </c>
      <c r="CJ24" s="205">
        <v>761.0296475944715</v>
      </c>
      <c r="CL24" s="303">
        <v>23</v>
      </c>
      <c r="CM24" s="113" t="s">
        <v>581</v>
      </c>
      <c r="CN24" s="206">
        <v>1.5412429927618818</v>
      </c>
      <c r="CO24" s="205">
        <f t="shared" si="9"/>
        <v>1541.2429927618819</v>
      </c>
      <c r="CQ24" s="304">
        <v>32</v>
      </c>
      <c r="CR24" s="113" t="s">
        <v>429</v>
      </c>
      <c r="CS24" s="205">
        <v>25.465014148740686</v>
      </c>
      <c r="CU24" s="304">
        <v>35</v>
      </c>
      <c r="CV24" s="113" t="s">
        <v>563</v>
      </c>
      <c r="CW24" s="206">
        <v>4.7249559673826817E-2</v>
      </c>
      <c r="CX24" s="205">
        <f t="shared" si="10"/>
        <v>47.249559673826816</v>
      </c>
      <c r="CZ24" s="303">
        <v>23</v>
      </c>
      <c r="DA24" s="113" t="s">
        <v>581</v>
      </c>
      <c r="DB24" s="205">
        <f>('nutrient content'!AA25/9)/calculations!C28</f>
        <v>4.7271851602941801</v>
      </c>
      <c r="DD24" s="306">
        <v>42</v>
      </c>
      <c r="DE24" s="113" t="s">
        <v>230</v>
      </c>
      <c r="DF24" s="206">
        <v>1.3173445759220439E-2</v>
      </c>
      <c r="DG24" s="205">
        <f t="shared" si="11"/>
        <v>13.173445759220439</v>
      </c>
      <c r="DI24" s="303">
        <v>9</v>
      </c>
      <c r="DJ24" s="113" t="s">
        <v>640</v>
      </c>
      <c r="DK24" s="205">
        <v>71.353849576745219</v>
      </c>
      <c r="DM24" s="302">
        <v>2</v>
      </c>
      <c r="DN24" s="113" t="s">
        <v>316</v>
      </c>
      <c r="DO24" s="206">
        <v>0.12981451327713042</v>
      </c>
      <c r="DP24" s="205">
        <f t="shared" si="12"/>
        <v>129.81451327713043</v>
      </c>
    </row>
    <row r="25" spans="1:120" s="204" customFormat="1" x14ac:dyDescent="0.2">
      <c r="A25" s="302">
        <v>2</v>
      </c>
      <c r="B25" s="308" t="s">
        <v>316</v>
      </c>
      <c r="C25" s="309">
        <v>628.66755117148637</v>
      </c>
      <c r="E25" s="304">
        <v>37</v>
      </c>
      <c r="F25" s="113" t="s">
        <v>455</v>
      </c>
      <c r="G25" s="205">
        <v>167.367582381913</v>
      </c>
      <c r="I25" s="303">
        <v>20</v>
      </c>
      <c r="J25" s="113" t="s">
        <v>579</v>
      </c>
      <c r="K25" s="205">
        <v>0.40885587483336816</v>
      </c>
      <c r="L25" s="205">
        <f t="shared" si="0"/>
        <v>408.85587483336815</v>
      </c>
      <c r="N25" s="306">
        <v>46</v>
      </c>
      <c r="O25" s="113" t="s">
        <v>535</v>
      </c>
      <c r="P25" s="205">
        <v>6.5218394994291771</v>
      </c>
      <c r="R25" s="306">
        <v>42</v>
      </c>
      <c r="S25" s="113" t="s">
        <v>230</v>
      </c>
      <c r="T25" s="205">
        <v>1.0336322499188925E-2</v>
      </c>
      <c r="U25" s="205">
        <f t="shared" si="1"/>
        <v>10.336322499188924</v>
      </c>
      <c r="W25" s="306">
        <v>53</v>
      </c>
      <c r="X25" s="113" t="s">
        <v>333</v>
      </c>
      <c r="Y25" s="205">
        <v>96.40589960058918</v>
      </c>
      <c r="AA25" s="303">
        <v>21</v>
      </c>
      <c r="AB25" s="113" t="s">
        <v>580</v>
      </c>
      <c r="AC25" s="205">
        <v>0.20484046173343717</v>
      </c>
      <c r="AD25" s="205">
        <f t="shared" si="2"/>
        <v>204.84046173343717</v>
      </c>
      <c r="AF25" s="304">
        <v>33</v>
      </c>
      <c r="AG25" s="113" t="s">
        <v>331</v>
      </c>
      <c r="AH25" s="205">
        <v>210.71140535342232</v>
      </c>
      <c r="AJ25" s="302">
        <v>1</v>
      </c>
      <c r="AK25" s="113" t="s">
        <v>577</v>
      </c>
      <c r="AL25" s="205">
        <v>0.47769132231150074</v>
      </c>
      <c r="AM25" s="205">
        <f t="shared" si="3"/>
        <v>477.69132231150076</v>
      </c>
      <c r="AO25" s="304">
        <v>29</v>
      </c>
      <c r="AP25" s="113" t="s">
        <v>615</v>
      </c>
      <c r="AQ25" s="205">
        <v>19.090886260882051</v>
      </c>
      <c r="AS25" s="302">
        <v>5</v>
      </c>
      <c r="AT25" s="113" t="s">
        <v>37</v>
      </c>
      <c r="AU25" s="205">
        <v>2.8663276507868703E-2</v>
      </c>
      <c r="AV25" s="205">
        <f t="shared" si="4"/>
        <v>28.663276507868705</v>
      </c>
      <c r="AX25" s="302">
        <v>2</v>
      </c>
      <c r="AY25" s="113" t="s">
        <v>316</v>
      </c>
      <c r="AZ25" s="205">
        <v>0.52739140289561626</v>
      </c>
      <c r="BB25" s="303">
        <v>15</v>
      </c>
      <c r="BC25" s="113" t="s">
        <v>458</v>
      </c>
      <c r="BD25" s="206">
        <v>1.4683366673027523E-3</v>
      </c>
      <c r="BE25" s="205">
        <f t="shared" si="5"/>
        <v>1.4683366673027523</v>
      </c>
      <c r="BG25" s="304">
        <v>36</v>
      </c>
      <c r="BH25" s="113" t="s">
        <v>582</v>
      </c>
      <c r="BI25" s="205">
        <v>1.2176735444923497</v>
      </c>
      <c r="BK25" s="302">
        <v>4</v>
      </c>
      <c r="BL25" s="113" t="s">
        <v>36</v>
      </c>
      <c r="BM25" s="206">
        <v>2.7811362563267992E-3</v>
      </c>
      <c r="BN25" s="205">
        <f t="shared" si="6"/>
        <v>2.7811362563267994</v>
      </c>
      <c r="BP25" s="303">
        <v>8</v>
      </c>
      <c r="BQ25" s="113" t="s">
        <v>639</v>
      </c>
      <c r="BR25" s="205">
        <v>743.44688224634854</v>
      </c>
      <c r="BT25" s="303">
        <v>22</v>
      </c>
      <c r="BU25" s="113" t="s">
        <v>430</v>
      </c>
      <c r="BV25" s="205">
        <v>2.0327203400246208</v>
      </c>
      <c r="BW25" s="205">
        <f t="shared" si="7"/>
        <v>2032.7203400246208</v>
      </c>
      <c r="BY25" s="302">
        <v>5</v>
      </c>
      <c r="BZ25" s="113" t="s">
        <v>37</v>
      </c>
      <c r="CA25" s="205">
        <v>4.0456525225492461</v>
      </c>
      <c r="CC25" s="302">
        <v>5</v>
      </c>
      <c r="CD25" s="113" t="s">
        <v>37</v>
      </c>
      <c r="CE25" s="206">
        <v>8.7854824820095337E-3</v>
      </c>
      <c r="CF25" s="205">
        <f t="shared" si="8"/>
        <v>8.7854824820095345</v>
      </c>
      <c r="CH25" s="304">
        <v>32</v>
      </c>
      <c r="CI25" s="113" t="s">
        <v>429</v>
      </c>
      <c r="CJ25" s="205">
        <v>723.6655720667967</v>
      </c>
      <c r="CL25" s="304">
        <v>34</v>
      </c>
      <c r="CM25" s="113" t="s">
        <v>604</v>
      </c>
      <c r="CN25" s="206">
        <v>1.4316327689187098</v>
      </c>
      <c r="CO25" s="205">
        <f t="shared" si="9"/>
        <v>1431.6327689187099</v>
      </c>
      <c r="CQ25" s="303">
        <v>15</v>
      </c>
      <c r="CR25" s="113" t="s">
        <v>458</v>
      </c>
      <c r="CS25" s="205">
        <v>25.291788384868031</v>
      </c>
      <c r="CU25" s="304">
        <v>36</v>
      </c>
      <c r="CV25" s="113" t="s">
        <v>582</v>
      </c>
      <c r="CW25" s="206">
        <v>4.6390058728094992E-2</v>
      </c>
      <c r="CX25" s="205">
        <f t="shared" si="10"/>
        <v>46.390058728094992</v>
      </c>
      <c r="CZ25" s="307">
        <v>58</v>
      </c>
      <c r="DA25" s="113" t="s">
        <v>326</v>
      </c>
      <c r="DB25" s="205">
        <f>('nutrient content'!AA60/9)/calculations!C63</f>
        <v>3.9877334480774977</v>
      </c>
      <c r="DD25" s="303">
        <v>10</v>
      </c>
      <c r="DE25" s="113" t="s">
        <v>642</v>
      </c>
      <c r="DF25" s="206">
        <v>1.2665057870811517E-2</v>
      </c>
      <c r="DG25" s="205">
        <f t="shared" si="11"/>
        <v>12.665057870811516</v>
      </c>
      <c r="DI25" s="303">
        <v>13</v>
      </c>
      <c r="DJ25" s="113" t="s">
        <v>565</v>
      </c>
      <c r="DK25" s="205">
        <v>68.144012097358754</v>
      </c>
      <c r="DM25" s="306">
        <v>52</v>
      </c>
      <c r="DN25" s="113" t="s">
        <v>422</v>
      </c>
      <c r="DO25" s="206">
        <v>0.1089236685851218</v>
      </c>
      <c r="DP25" s="205">
        <f t="shared" si="12"/>
        <v>108.9236685851218</v>
      </c>
    </row>
    <row r="26" spans="1:120" s="204" customFormat="1" x14ac:dyDescent="0.2">
      <c r="A26" s="304">
        <v>27</v>
      </c>
      <c r="B26" s="308" t="s">
        <v>457</v>
      </c>
      <c r="C26" s="309">
        <v>626.16332063402126</v>
      </c>
      <c r="E26" s="306">
        <v>47</v>
      </c>
      <c r="F26" s="113" t="s">
        <v>603</v>
      </c>
      <c r="G26" s="205">
        <v>160.62210881849109</v>
      </c>
      <c r="I26" s="304">
        <v>27</v>
      </c>
      <c r="J26" s="113" t="s">
        <v>457</v>
      </c>
      <c r="K26" s="205">
        <v>0.36783992252330144</v>
      </c>
      <c r="L26" s="205">
        <f t="shared" si="0"/>
        <v>367.83992252330142</v>
      </c>
      <c r="N26" s="306">
        <v>50</v>
      </c>
      <c r="O26" s="113" t="s">
        <v>423</v>
      </c>
      <c r="P26" s="205">
        <v>6.2571685949652815</v>
      </c>
      <c r="R26" s="303">
        <v>22</v>
      </c>
      <c r="S26" s="113" t="s">
        <v>430</v>
      </c>
      <c r="T26" s="205">
        <v>1.0261420540357131E-2</v>
      </c>
      <c r="U26" s="205">
        <f t="shared" si="1"/>
        <v>10.261420540357131</v>
      </c>
      <c r="W26" s="306">
        <v>52</v>
      </c>
      <c r="X26" s="113" t="s">
        <v>422</v>
      </c>
      <c r="Y26" s="205">
        <v>95.739491611834481</v>
      </c>
      <c r="AA26" s="304">
        <v>33</v>
      </c>
      <c r="AB26" s="113" t="s">
        <v>331</v>
      </c>
      <c r="AC26" s="205">
        <v>0.20470664636435879</v>
      </c>
      <c r="AD26" s="205">
        <f t="shared" si="2"/>
        <v>204.70664636435879</v>
      </c>
      <c r="AF26" s="305">
        <v>39</v>
      </c>
      <c r="AG26" s="113" t="s">
        <v>583</v>
      </c>
      <c r="AH26" s="205">
        <v>208.04938066051557</v>
      </c>
      <c r="AJ26" s="307">
        <v>54</v>
      </c>
      <c r="AK26" s="113" t="s">
        <v>49</v>
      </c>
      <c r="AL26" s="205">
        <v>0.41505186746430262</v>
      </c>
      <c r="AM26" s="205">
        <f t="shared" si="3"/>
        <v>415.05186746430263</v>
      </c>
      <c r="AO26" s="302">
        <v>5</v>
      </c>
      <c r="AP26" s="113" t="s">
        <v>37</v>
      </c>
      <c r="AQ26" s="205">
        <v>13.199236028988274</v>
      </c>
      <c r="AS26" s="304">
        <v>28</v>
      </c>
      <c r="AT26" s="113" t="s">
        <v>63</v>
      </c>
      <c r="AU26" s="205">
        <v>2.8473747731280072E-2</v>
      </c>
      <c r="AV26" s="205">
        <f t="shared" si="4"/>
        <v>28.473747731280071</v>
      </c>
      <c r="AX26" s="304">
        <v>37</v>
      </c>
      <c r="AY26" s="113" t="s">
        <v>455</v>
      </c>
      <c r="AZ26" s="205">
        <v>0.52294955969865353</v>
      </c>
      <c r="BB26" s="303">
        <v>13</v>
      </c>
      <c r="BC26" s="113" t="s">
        <v>565</v>
      </c>
      <c r="BD26" s="206">
        <v>1.3502602416935927E-3</v>
      </c>
      <c r="BE26" s="205">
        <f t="shared" si="5"/>
        <v>1.3502602416935927</v>
      </c>
      <c r="BG26" s="303">
        <v>19</v>
      </c>
      <c r="BH26" s="113" t="s">
        <v>555</v>
      </c>
      <c r="BI26" s="205">
        <v>1.1059142833699629</v>
      </c>
      <c r="BK26" s="303">
        <v>14</v>
      </c>
      <c r="BL26" s="113" t="s">
        <v>456</v>
      </c>
      <c r="BM26" s="206">
        <v>1.9490356007997617E-3</v>
      </c>
      <c r="BN26" s="205">
        <f t="shared" si="6"/>
        <v>1.9490356007997618</v>
      </c>
      <c r="BP26" s="305">
        <v>39</v>
      </c>
      <c r="BQ26" s="113" t="s">
        <v>583</v>
      </c>
      <c r="BR26" s="205">
        <v>738.61354670715696</v>
      </c>
      <c r="BT26" s="302">
        <v>5</v>
      </c>
      <c r="BU26" s="113" t="s">
        <v>37</v>
      </c>
      <c r="BV26" s="205">
        <v>1.9895107207994214</v>
      </c>
      <c r="BW26" s="205">
        <f t="shared" si="7"/>
        <v>1989.5107207994213</v>
      </c>
      <c r="BY26" s="303">
        <v>8</v>
      </c>
      <c r="BZ26" s="113" t="s">
        <v>639</v>
      </c>
      <c r="CA26" s="205">
        <v>3.9081995799263267</v>
      </c>
      <c r="CC26" s="304">
        <v>31</v>
      </c>
      <c r="CD26" s="113" t="s">
        <v>315</v>
      </c>
      <c r="CE26" s="206">
        <v>8.6928439278840617E-3</v>
      </c>
      <c r="CF26" s="205">
        <f t="shared" si="8"/>
        <v>8.692843927884061</v>
      </c>
      <c r="CH26" s="303">
        <v>24</v>
      </c>
      <c r="CI26" s="113" t="s">
        <v>15</v>
      </c>
      <c r="CJ26" s="205">
        <v>718.24900950594974</v>
      </c>
      <c r="CL26" s="303">
        <v>20</v>
      </c>
      <c r="CM26" s="113" t="s">
        <v>579</v>
      </c>
      <c r="CN26" s="206">
        <v>1.3488608450228141</v>
      </c>
      <c r="CO26" s="205">
        <f t="shared" si="9"/>
        <v>1348.8608450228141</v>
      </c>
      <c r="CQ26" s="304">
        <v>37</v>
      </c>
      <c r="CR26" s="113" t="s">
        <v>455</v>
      </c>
      <c r="CS26" s="205">
        <v>24.41073451708646</v>
      </c>
      <c r="CU26" s="302">
        <v>4</v>
      </c>
      <c r="CV26" s="113" t="s">
        <v>36</v>
      </c>
      <c r="CW26" s="206">
        <v>4.4531457514559419E-2</v>
      </c>
      <c r="CX26" s="205">
        <f t="shared" si="10"/>
        <v>44.53145751455942</v>
      </c>
      <c r="CZ26" s="303">
        <v>15</v>
      </c>
      <c r="DA26" s="113" t="s">
        <v>458</v>
      </c>
      <c r="DB26" s="205">
        <f>('nutrient content'!AA17/9)/calculations!C20</f>
        <v>4.6780561943709973</v>
      </c>
      <c r="DD26" s="303">
        <v>17</v>
      </c>
      <c r="DE26" s="113" t="s">
        <v>554</v>
      </c>
      <c r="DF26" s="206">
        <v>1.2196026174513954E-2</v>
      </c>
      <c r="DG26" s="205">
        <f t="shared" si="11"/>
        <v>12.196026174513953</v>
      </c>
      <c r="DI26" s="304">
        <v>37</v>
      </c>
      <c r="DJ26" s="113" t="s">
        <v>455</v>
      </c>
      <c r="DK26" s="205">
        <v>67.434945868992685</v>
      </c>
      <c r="DM26" s="304">
        <v>36</v>
      </c>
      <c r="DN26" s="113" t="s">
        <v>582</v>
      </c>
      <c r="DO26" s="206">
        <v>0.10807791538677977</v>
      </c>
      <c r="DP26" s="205">
        <f t="shared" si="12"/>
        <v>108.07791538677976</v>
      </c>
    </row>
    <row r="27" spans="1:120" s="204" customFormat="1" x14ac:dyDescent="0.2">
      <c r="A27" s="302">
        <v>4</v>
      </c>
      <c r="B27" s="308" t="s">
        <v>36</v>
      </c>
      <c r="C27" s="309">
        <v>579.89594878720777</v>
      </c>
      <c r="E27" s="303">
        <v>21</v>
      </c>
      <c r="F27" s="113" t="s">
        <v>580</v>
      </c>
      <c r="G27" s="205">
        <v>153.96605180154378</v>
      </c>
      <c r="I27" s="306">
        <v>53</v>
      </c>
      <c r="J27" s="113" t="s">
        <v>333</v>
      </c>
      <c r="K27" s="205">
        <v>0.35017976933625855</v>
      </c>
      <c r="L27" s="205">
        <f t="shared" si="0"/>
        <v>350.17976933625857</v>
      </c>
      <c r="N27" s="304">
        <v>27</v>
      </c>
      <c r="O27" s="113" t="s">
        <v>457</v>
      </c>
      <c r="P27" s="205">
        <v>5.4903117917357012</v>
      </c>
      <c r="R27" s="304">
        <v>37</v>
      </c>
      <c r="S27" s="113" t="s">
        <v>455</v>
      </c>
      <c r="T27" s="205">
        <v>9.6585161504172002E-3</v>
      </c>
      <c r="U27" s="205">
        <f t="shared" si="1"/>
        <v>9.658516150417201</v>
      </c>
      <c r="W27" s="303">
        <v>14</v>
      </c>
      <c r="X27" s="113" t="s">
        <v>456</v>
      </c>
      <c r="Y27" s="205">
        <v>90.529464822438896</v>
      </c>
      <c r="AA27" s="303">
        <v>16</v>
      </c>
      <c r="AB27" s="113" t="s">
        <v>553</v>
      </c>
      <c r="AC27" s="205">
        <v>0.20077931792031389</v>
      </c>
      <c r="AD27" s="205">
        <f t="shared" si="2"/>
        <v>200.7793179203139</v>
      </c>
      <c r="AF27" s="304">
        <v>32</v>
      </c>
      <c r="AG27" s="113" t="s">
        <v>429</v>
      </c>
      <c r="AH27" s="205">
        <v>184.3594281429634</v>
      </c>
      <c r="AJ27" s="303">
        <v>14</v>
      </c>
      <c r="AK27" s="113" t="s">
        <v>456</v>
      </c>
      <c r="AL27" s="205">
        <v>0.29647162113104059</v>
      </c>
      <c r="AM27" s="205">
        <f t="shared" si="3"/>
        <v>296.47162113104059</v>
      </c>
      <c r="AO27" s="304">
        <v>28</v>
      </c>
      <c r="AP27" s="113" t="s">
        <v>63</v>
      </c>
      <c r="AQ27" s="205">
        <v>12.707447096691704</v>
      </c>
      <c r="AS27" s="304">
        <v>29</v>
      </c>
      <c r="AT27" s="113" t="s">
        <v>615</v>
      </c>
      <c r="AU27" s="205">
        <v>2.8441720813001961E-2</v>
      </c>
      <c r="AV27" s="205">
        <f t="shared" si="4"/>
        <v>28.441720813001961</v>
      </c>
      <c r="AX27" s="303">
        <v>19</v>
      </c>
      <c r="AY27" s="113" t="s">
        <v>555</v>
      </c>
      <c r="AZ27" s="205">
        <v>0.50913837551424501</v>
      </c>
      <c r="BB27" s="306">
        <v>45</v>
      </c>
      <c r="BC27" s="113" t="s">
        <v>448</v>
      </c>
      <c r="BD27" s="206">
        <v>1.3279837116294934E-3</v>
      </c>
      <c r="BE27" s="205">
        <f t="shared" si="5"/>
        <v>1.3279837116294935</v>
      </c>
      <c r="BG27" s="304">
        <v>37</v>
      </c>
      <c r="BH27" s="113" t="s">
        <v>455</v>
      </c>
      <c r="BI27" s="205">
        <v>0.86011051739422573</v>
      </c>
      <c r="BK27" s="304">
        <v>36</v>
      </c>
      <c r="BL27" s="113" t="s">
        <v>582</v>
      </c>
      <c r="BM27" s="206">
        <v>1.623056883599501E-3</v>
      </c>
      <c r="BN27" s="205">
        <f t="shared" si="6"/>
        <v>1.623056883599501</v>
      </c>
      <c r="BP27" s="303">
        <v>20</v>
      </c>
      <c r="BQ27" s="113" t="s">
        <v>579</v>
      </c>
      <c r="BR27" s="205">
        <v>729.08504115588153</v>
      </c>
      <c r="BT27" s="303">
        <v>9</v>
      </c>
      <c r="BU27" s="113" t="s">
        <v>640</v>
      </c>
      <c r="BV27" s="205">
        <v>1.9135304059182281</v>
      </c>
      <c r="BW27" s="205">
        <f t="shared" si="7"/>
        <v>1913.5304059182281</v>
      </c>
      <c r="BY27" s="303">
        <v>21</v>
      </c>
      <c r="BZ27" s="113" t="s">
        <v>580</v>
      </c>
      <c r="CA27" s="205">
        <v>3.6891985598164982</v>
      </c>
      <c r="CC27" s="305">
        <v>38</v>
      </c>
      <c r="CD27" s="113" t="s">
        <v>605</v>
      </c>
      <c r="CE27" s="206">
        <v>8.5860169655163215E-3</v>
      </c>
      <c r="CF27" s="205">
        <f t="shared" si="8"/>
        <v>8.5860169655163219</v>
      </c>
      <c r="CH27" s="306">
        <v>53</v>
      </c>
      <c r="CI27" s="113" t="s">
        <v>333</v>
      </c>
      <c r="CJ27" s="205">
        <v>601.36457284676692</v>
      </c>
      <c r="CL27" s="304">
        <v>36</v>
      </c>
      <c r="CM27" s="113" t="s">
        <v>582</v>
      </c>
      <c r="CN27" s="206">
        <v>1.3374581685283764</v>
      </c>
      <c r="CO27" s="205">
        <f t="shared" si="9"/>
        <v>1337.4581685283763</v>
      </c>
      <c r="CQ27" s="304">
        <v>26</v>
      </c>
      <c r="CR27" s="113" t="s">
        <v>329</v>
      </c>
      <c r="CS27" s="205">
        <v>24.174590446958472</v>
      </c>
      <c r="CU27" s="303">
        <v>9</v>
      </c>
      <c r="CV27" s="113" t="s">
        <v>640</v>
      </c>
      <c r="CW27" s="206">
        <v>4.3654365240351781E-2</v>
      </c>
      <c r="CX27" s="205">
        <f t="shared" si="10"/>
        <v>43.65436524035178</v>
      </c>
      <c r="CZ27" s="306">
        <v>52</v>
      </c>
      <c r="DA27" s="113" t="s">
        <v>422</v>
      </c>
      <c r="DB27" s="205">
        <f>('nutrient content'!AA54/9)/calculations!C57</f>
        <v>4.3179276796265293</v>
      </c>
      <c r="DD27" s="304">
        <v>34</v>
      </c>
      <c r="DE27" s="113" t="s">
        <v>604</v>
      </c>
      <c r="DF27" s="206">
        <v>1.141425270637661E-2</v>
      </c>
      <c r="DG27" s="205">
        <f t="shared" si="11"/>
        <v>11.41425270637661</v>
      </c>
      <c r="DI27" s="304">
        <v>32</v>
      </c>
      <c r="DJ27" s="113" t="s">
        <v>429</v>
      </c>
      <c r="DK27" s="205">
        <v>56.899334019588281</v>
      </c>
      <c r="DM27" s="304">
        <v>32</v>
      </c>
      <c r="DN27" s="113" t="s">
        <v>429</v>
      </c>
      <c r="DO27" s="206">
        <v>8.7753666927247301E-2</v>
      </c>
      <c r="DP27" s="205">
        <f t="shared" si="12"/>
        <v>87.753666927247295</v>
      </c>
    </row>
    <row r="28" spans="1:120" s="204" customFormat="1" x14ac:dyDescent="0.2">
      <c r="A28" s="306">
        <v>45</v>
      </c>
      <c r="B28" s="308" t="s">
        <v>448</v>
      </c>
      <c r="C28" s="309">
        <v>575.47800806603811</v>
      </c>
      <c r="E28" s="306">
        <v>46</v>
      </c>
      <c r="F28" s="113" t="s">
        <v>535</v>
      </c>
      <c r="G28" s="205">
        <v>143.42672179801727</v>
      </c>
      <c r="I28" s="303">
        <v>21</v>
      </c>
      <c r="J28" s="113" t="s">
        <v>580</v>
      </c>
      <c r="K28" s="205">
        <v>0.32149747653031863</v>
      </c>
      <c r="L28" s="205">
        <f t="shared" si="0"/>
        <v>321.49747653031864</v>
      </c>
      <c r="N28" s="305">
        <v>39</v>
      </c>
      <c r="O28" s="113" t="s">
        <v>583</v>
      </c>
      <c r="P28" s="205">
        <v>5.3179822238580243</v>
      </c>
      <c r="R28" s="304">
        <v>27</v>
      </c>
      <c r="S28" s="113" t="s">
        <v>457</v>
      </c>
      <c r="T28" s="205">
        <v>8.7681785419441213E-3</v>
      </c>
      <c r="U28" s="205">
        <f t="shared" si="1"/>
        <v>8.7681785419441205</v>
      </c>
      <c r="W28" s="303">
        <v>16</v>
      </c>
      <c r="X28" s="113" t="s">
        <v>553</v>
      </c>
      <c r="Y28" s="205">
        <v>87.591663510116277</v>
      </c>
      <c r="AA28" s="303">
        <v>20</v>
      </c>
      <c r="AB28" s="113" t="s">
        <v>579</v>
      </c>
      <c r="AC28" s="205">
        <v>0.18064664473109562</v>
      </c>
      <c r="AD28" s="205">
        <f t="shared" si="2"/>
        <v>180.64664473109562</v>
      </c>
      <c r="AF28" s="306">
        <v>51</v>
      </c>
      <c r="AG28" s="113" t="s">
        <v>330</v>
      </c>
      <c r="AH28" s="205">
        <v>143.51550956638218</v>
      </c>
      <c r="AJ28" s="303">
        <v>22</v>
      </c>
      <c r="AK28" s="113" t="s">
        <v>430</v>
      </c>
      <c r="AL28" s="205">
        <v>0.28568870617846454</v>
      </c>
      <c r="AM28" s="205">
        <f t="shared" si="3"/>
        <v>285.68870617846454</v>
      </c>
      <c r="AO28" s="304">
        <v>36</v>
      </c>
      <c r="AP28" s="113" t="s">
        <v>582</v>
      </c>
      <c r="AQ28" s="205">
        <v>11.790107803648956</v>
      </c>
      <c r="AS28" s="304">
        <v>37</v>
      </c>
      <c r="AT28" s="113" t="s">
        <v>455</v>
      </c>
      <c r="AU28" s="205">
        <v>2.3390556134942092E-2</v>
      </c>
      <c r="AV28" s="205">
        <f t="shared" si="4"/>
        <v>23.390556134942091</v>
      </c>
      <c r="AX28" s="306">
        <v>52</v>
      </c>
      <c r="AY28" s="113" t="s">
        <v>422</v>
      </c>
      <c r="AZ28" s="205">
        <v>0.47432517769854105</v>
      </c>
      <c r="BB28" s="306">
        <v>42</v>
      </c>
      <c r="BC28" s="113" t="s">
        <v>230</v>
      </c>
      <c r="BD28" s="206">
        <v>1.249335694214019E-3</v>
      </c>
      <c r="BE28" s="205">
        <f t="shared" si="5"/>
        <v>1.249335694214019</v>
      </c>
      <c r="BG28" s="303">
        <v>23</v>
      </c>
      <c r="BH28" s="113" t="s">
        <v>581</v>
      </c>
      <c r="BI28" s="205">
        <v>0.73938549646114271</v>
      </c>
      <c r="BK28" s="303">
        <v>17</v>
      </c>
      <c r="BL28" s="113" t="s">
        <v>554</v>
      </c>
      <c r="BM28" s="206">
        <v>1.3276142953537505E-3</v>
      </c>
      <c r="BN28" s="205">
        <f t="shared" si="6"/>
        <v>1.3276142953537506</v>
      </c>
      <c r="BP28" s="307">
        <v>54</v>
      </c>
      <c r="BQ28" s="113" t="s">
        <v>49</v>
      </c>
      <c r="BR28" s="205">
        <v>713.18041562858571</v>
      </c>
      <c r="BT28" s="303">
        <v>8</v>
      </c>
      <c r="BU28" s="113" t="s">
        <v>639</v>
      </c>
      <c r="BV28" s="205">
        <v>1.9125197089483799</v>
      </c>
      <c r="BW28" s="205">
        <f t="shared" si="7"/>
        <v>1912.51970894838</v>
      </c>
      <c r="BY28" s="306">
        <v>45</v>
      </c>
      <c r="BZ28" s="113" t="s">
        <v>448</v>
      </c>
      <c r="CA28" s="205">
        <v>3.5039947383019041</v>
      </c>
      <c r="CC28" s="303">
        <v>6</v>
      </c>
      <c r="CD28" s="113" t="s">
        <v>637</v>
      </c>
      <c r="CE28" s="206">
        <v>8.568478470718564E-3</v>
      </c>
      <c r="CF28" s="205">
        <f t="shared" si="8"/>
        <v>8.5684784707185635</v>
      </c>
      <c r="CH28" s="302">
        <v>2</v>
      </c>
      <c r="CI28" s="113" t="s">
        <v>316</v>
      </c>
      <c r="CJ28" s="205">
        <v>566.37090772544013</v>
      </c>
      <c r="CL28" s="306">
        <v>48</v>
      </c>
      <c r="CM28" s="113" t="s">
        <v>155</v>
      </c>
      <c r="CN28" s="206">
        <v>1.2896293932652281</v>
      </c>
      <c r="CO28" s="205">
        <f t="shared" si="9"/>
        <v>1289.6293932652281</v>
      </c>
      <c r="CQ28" s="303">
        <v>10</v>
      </c>
      <c r="CR28" s="113" t="s">
        <v>642</v>
      </c>
      <c r="CS28" s="205">
        <v>21.949367820813599</v>
      </c>
      <c r="CU28" s="306">
        <v>48</v>
      </c>
      <c r="CV28" s="113" t="s">
        <v>155</v>
      </c>
      <c r="CW28" s="206">
        <v>4.3358022215812704E-2</v>
      </c>
      <c r="CX28" s="205">
        <f t="shared" si="10"/>
        <v>43.358022215812703</v>
      </c>
      <c r="CZ28" s="306">
        <v>45</v>
      </c>
      <c r="DA28" s="113" t="s">
        <v>448</v>
      </c>
      <c r="DB28" s="205">
        <f>('nutrient content'!AA47/9)/calculations!C50</f>
        <v>3.6555687252946671</v>
      </c>
      <c r="DD28" s="303">
        <v>16</v>
      </c>
      <c r="DE28" s="113" t="s">
        <v>553</v>
      </c>
      <c r="DF28" s="206">
        <v>1.105506758244023E-2</v>
      </c>
      <c r="DG28" s="205">
        <f t="shared" si="11"/>
        <v>11.05506758244023</v>
      </c>
      <c r="DI28" s="307">
        <v>54</v>
      </c>
      <c r="DJ28" s="113" t="s">
        <v>49</v>
      </c>
      <c r="DK28" s="205">
        <v>52.949595185307359</v>
      </c>
      <c r="DM28" s="304">
        <v>37</v>
      </c>
      <c r="DN28" s="113" t="s">
        <v>455</v>
      </c>
      <c r="DO28" s="206">
        <v>8.1317497843092723E-2</v>
      </c>
      <c r="DP28" s="205">
        <f t="shared" si="12"/>
        <v>81.317497843092724</v>
      </c>
    </row>
    <row r="29" spans="1:120" s="204" customFormat="1" x14ac:dyDescent="0.2">
      <c r="A29" s="307">
        <v>56</v>
      </c>
      <c r="B29" s="308" t="s">
        <v>51</v>
      </c>
      <c r="C29" s="309">
        <v>563.47312834638035</v>
      </c>
      <c r="E29" s="303">
        <v>12</v>
      </c>
      <c r="F29" s="113" t="s">
        <v>454</v>
      </c>
      <c r="G29" s="205">
        <v>139.41264412406679</v>
      </c>
      <c r="I29" s="306">
        <v>45</v>
      </c>
      <c r="J29" s="113" t="s">
        <v>448</v>
      </c>
      <c r="K29" s="205">
        <v>0.30392729286434866</v>
      </c>
      <c r="L29" s="205">
        <f t="shared" si="0"/>
        <v>303.92729286434866</v>
      </c>
      <c r="N29" s="304">
        <v>33</v>
      </c>
      <c r="O29" s="113" t="s">
        <v>331</v>
      </c>
      <c r="P29" s="205">
        <v>5.1553802984863095</v>
      </c>
      <c r="R29" s="304">
        <v>35</v>
      </c>
      <c r="S29" s="113" t="s">
        <v>563</v>
      </c>
      <c r="T29" s="205">
        <v>7.7772674616478641E-3</v>
      </c>
      <c r="U29" s="205">
        <f t="shared" si="1"/>
        <v>7.7772674616478641</v>
      </c>
      <c r="W29" s="306">
        <v>47</v>
      </c>
      <c r="X29" s="113" t="s">
        <v>603</v>
      </c>
      <c r="Y29" s="205">
        <v>80.984587797025426</v>
      </c>
      <c r="AA29" s="306">
        <v>49</v>
      </c>
      <c r="AB29" s="113" t="s">
        <v>48</v>
      </c>
      <c r="AC29" s="205">
        <v>0.17763517555537023</v>
      </c>
      <c r="AD29" s="205">
        <f t="shared" si="2"/>
        <v>177.63517555537024</v>
      </c>
      <c r="AF29" s="306">
        <v>48</v>
      </c>
      <c r="AG29" s="113" t="s">
        <v>155</v>
      </c>
      <c r="AH29" s="205">
        <v>130.52320490980452</v>
      </c>
      <c r="AJ29" s="304">
        <v>32</v>
      </c>
      <c r="AK29" s="113" t="s">
        <v>429</v>
      </c>
      <c r="AL29" s="205">
        <v>0.28433049579430658</v>
      </c>
      <c r="AM29" s="205">
        <f t="shared" si="3"/>
        <v>284.33049579430656</v>
      </c>
      <c r="AO29" s="303">
        <v>23</v>
      </c>
      <c r="AP29" s="113" t="s">
        <v>581</v>
      </c>
      <c r="AQ29" s="205">
        <v>10.734956667294284</v>
      </c>
      <c r="AS29" s="303">
        <v>12</v>
      </c>
      <c r="AT29" s="113" t="s">
        <v>454</v>
      </c>
      <c r="AU29" s="205">
        <v>1.9389332557812285E-2</v>
      </c>
      <c r="AV29" s="205">
        <f t="shared" si="4"/>
        <v>19.389332557812285</v>
      </c>
      <c r="AX29" s="302">
        <v>5</v>
      </c>
      <c r="AY29" s="113" t="s">
        <v>37</v>
      </c>
      <c r="AZ29" s="205">
        <v>0.47157740787058483</v>
      </c>
      <c r="BB29" s="304">
        <v>30</v>
      </c>
      <c r="BC29" s="113" t="s">
        <v>322</v>
      </c>
      <c r="BD29" s="206">
        <v>1.2311013419723956E-3</v>
      </c>
      <c r="BE29" s="205">
        <f t="shared" si="5"/>
        <v>1.2311013419723955</v>
      </c>
      <c r="BG29" s="304">
        <v>33</v>
      </c>
      <c r="BH29" s="113" t="s">
        <v>331</v>
      </c>
      <c r="BI29" s="205">
        <v>0.64883202022723796</v>
      </c>
      <c r="BK29" s="306">
        <v>49</v>
      </c>
      <c r="BL29" s="113" t="s">
        <v>48</v>
      </c>
      <c r="BM29" s="206">
        <v>1.0836102249302672E-3</v>
      </c>
      <c r="BN29" s="205">
        <f t="shared" si="6"/>
        <v>1.0836102249302673</v>
      </c>
      <c r="BP29" s="303">
        <v>12</v>
      </c>
      <c r="BQ29" s="113" t="s">
        <v>454</v>
      </c>
      <c r="BR29" s="205">
        <v>694.01611591237531</v>
      </c>
      <c r="BT29" s="306">
        <v>52</v>
      </c>
      <c r="BU29" s="113" t="s">
        <v>422</v>
      </c>
      <c r="BV29" s="205">
        <v>1.8044104513266417</v>
      </c>
      <c r="BW29" s="205">
        <f t="shared" si="7"/>
        <v>1804.4104513266416</v>
      </c>
      <c r="BY29" s="306">
        <v>42</v>
      </c>
      <c r="BZ29" s="113" t="s">
        <v>230</v>
      </c>
      <c r="CA29" s="205">
        <v>3.4479884954621816</v>
      </c>
      <c r="CC29" s="303">
        <v>20</v>
      </c>
      <c r="CD29" s="113" t="s">
        <v>579</v>
      </c>
      <c r="CE29" s="206">
        <v>8.5566392305597063E-3</v>
      </c>
      <c r="CF29" s="205">
        <f t="shared" si="8"/>
        <v>8.556639230559707</v>
      </c>
      <c r="CH29" s="304">
        <v>28</v>
      </c>
      <c r="CI29" s="113" t="s">
        <v>63</v>
      </c>
      <c r="CJ29" s="205">
        <v>533.10416906351134</v>
      </c>
      <c r="CL29" s="306">
        <v>47</v>
      </c>
      <c r="CM29" s="113" t="s">
        <v>603</v>
      </c>
      <c r="CN29" s="206">
        <v>1.2439308222993064</v>
      </c>
      <c r="CO29" s="205">
        <f t="shared" si="9"/>
        <v>1243.9308222993063</v>
      </c>
      <c r="CQ29" s="303">
        <v>7</v>
      </c>
      <c r="CR29" s="113" t="s">
        <v>638</v>
      </c>
      <c r="CS29" s="205">
        <v>21.597245418827587</v>
      </c>
      <c r="CU29" s="304">
        <v>33</v>
      </c>
      <c r="CV29" s="113" t="s">
        <v>331</v>
      </c>
      <c r="CW29" s="206">
        <v>4.2463964114742299E-2</v>
      </c>
      <c r="CX29" s="205">
        <f t="shared" si="10"/>
        <v>42.463964114742296</v>
      </c>
      <c r="CZ29" s="304">
        <v>31</v>
      </c>
      <c r="DA29" s="113" t="s">
        <v>315</v>
      </c>
      <c r="DB29" s="205">
        <f>('nutrient content'!AA33/9)/calculations!C36</f>
        <v>2.4404317549957493</v>
      </c>
      <c r="DD29" s="306">
        <v>48</v>
      </c>
      <c r="DE29" s="113" t="s">
        <v>155</v>
      </c>
      <c r="DF29" s="206">
        <v>1.0887453369180436E-2</v>
      </c>
      <c r="DG29" s="205">
        <f t="shared" si="11"/>
        <v>10.887453369180436</v>
      </c>
      <c r="DI29" s="306">
        <v>52</v>
      </c>
      <c r="DJ29" s="113" t="s">
        <v>422</v>
      </c>
      <c r="DK29" s="205">
        <v>47.099875094408482</v>
      </c>
      <c r="DM29" s="304">
        <v>33</v>
      </c>
      <c r="DN29" s="113" t="s">
        <v>331</v>
      </c>
      <c r="DO29" s="206">
        <v>7.0226301725927032E-2</v>
      </c>
      <c r="DP29" s="205">
        <f t="shared" si="12"/>
        <v>70.22630172592703</v>
      </c>
    </row>
    <row r="30" spans="1:120" s="204" customFormat="1" x14ac:dyDescent="0.2">
      <c r="A30" s="303">
        <v>6</v>
      </c>
      <c r="B30" s="308" t="s">
        <v>637</v>
      </c>
      <c r="C30" s="309">
        <v>552.58547479682125</v>
      </c>
      <c r="E30" s="306">
        <v>48</v>
      </c>
      <c r="F30" s="113" t="s">
        <v>155</v>
      </c>
      <c r="G30" s="205">
        <v>132.26398486535197</v>
      </c>
      <c r="I30" s="303">
        <v>23</v>
      </c>
      <c r="J30" s="113" t="s">
        <v>581</v>
      </c>
      <c r="K30" s="205">
        <v>0.27070577110864258</v>
      </c>
      <c r="L30" s="205">
        <f t="shared" si="0"/>
        <v>270.70577110864258</v>
      </c>
      <c r="N30" s="304">
        <v>36</v>
      </c>
      <c r="O30" s="113" t="s">
        <v>582</v>
      </c>
      <c r="P30" s="205">
        <v>5.0568037380468498</v>
      </c>
      <c r="R30" s="302">
        <v>5</v>
      </c>
      <c r="S30" s="113" t="s">
        <v>37</v>
      </c>
      <c r="T30" s="205">
        <v>6.7938103772239742E-3</v>
      </c>
      <c r="U30" s="205">
        <f t="shared" si="1"/>
        <v>6.7938103772239744</v>
      </c>
      <c r="W30" s="302">
        <v>5</v>
      </c>
      <c r="X30" s="113" t="s">
        <v>37</v>
      </c>
      <c r="Y30" s="205">
        <v>79.08830310957886</v>
      </c>
      <c r="AA30" s="303">
        <v>22</v>
      </c>
      <c r="AB30" s="113" t="s">
        <v>430</v>
      </c>
      <c r="AC30" s="205">
        <v>0.173158911630233</v>
      </c>
      <c r="AD30" s="205">
        <f t="shared" si="2"/>
        <v>173.15891163023301</v>
      </c>
      <c r="AF30" s="304">
        <v>37</v>
      </c>
      <c r="AG30" s="113" t="s">
        <v>455</v>
      </c>
      <c r="AH30" s="205">
        <v>128.2471084738597</v>
      </c>
      <c r="AJ30" s="303">
        <v>13</v>
      </c>
      <c r="AK30" s="113" t="s">
        <v>565</v>
      </c>
      <c r="AL30" s="205">
        <v>0.27317118279905334</v>
      </c>
      <c r="AM30" s="205">
        <f t="shared" si="3"/>
        <v>273.17118279905333</v>
      </c>
      <c r="AO30" s="307">
        <v>58</v>
      </c>
      <c r="AP30" s="113" t="s">
        <v>326</v>
      </c>
      <c r="AQ30" s="205">
        <v>8.6006240177721001</v>
      </c>
      <c r="AS30" s="304">
        <v>36</v>
      </c>
      <c r="AT30" s="113" t="s">
        <v>582</v>
      </c>
      <c r="AU30" s="205">
        <v>1.5715226561048817E-2</v>
      </c>
      <c r="AV30" s="205">
        <f t="shared" si="4"/>
        <v>15.715226561048818</v>
      </c>
      <c r="AX30" s="306">
        <v>53</v>
      </c>
      <c r="AY30" s="113" t="s">
        <v>333</v>
      </c>
      <c r="AZ30" s="205">
        <v>0.45567525642011569</v>
      </c>
      <c r="BB30" s="303">
        <v>6</v>
      </c>
      <c r="BC30" s="113" t="s">
        <v>637</v>
      </c>
      <c r="BD30" s="206">
        <v>1.2273556489729317E-3</v>
      </c>
      <c r="BE30" s="205">
        <f t="shared" si="5"/>
        <v>1.2273556489729316</v>
      </c>
      <c r="BG30" s="306">
        <v>43</v>
      </c>
      <c r="BH30" s="113" t="s">
        <v>332</v>
      </c>
      <c r="BI30" s="205">
        <v>0.48853931861196176</v>
      </c>
      <c r="BK30" s="303">
        <v>15</v>
      </c>
      <c r="BL30" s="113" t="s">
        <v>458</v>
      </c>
      <c r="BM30" s="206">
        <v>1.0598875838788093E-3</v>
      </c>
      <c r="BN30" s="205">
        <f t="shared" si="6"/>
        <v>1.0598875838788093</v>
      </c>
      <c r="BP30" s="306">
        <v>48</v>
      </c>
      <c r="BQ30" s="113" t="s">
        <v>155</v>
      </c>
      <c r="BR30" s="205">
        <v>669.5473431564676</v>
      </c>
      <c r="BT30" s="303">
        <v>19</v>
      </c>
      <c r="BU30" s="113" t="s">
        <v>555</v>
      </c>
      <c r="BV30" s="205">
        <v>1.672384510706922</v>
      </c>
      <c r="BW30" s="205">
        <f t="shared" si="7"/>
        <v>1672.3845107069219</v>
      </c>
      <c r="BY30" s="303">
        <v>12</v>
      </c>
      <c r="BZ30" s="113" t="s">
        <v>454</v>
      </c>
      <c r="CA30" s="205">
        <v>3.4416473431747243</v>
      </c>
      <c r="CC30" s="303">
        <v>21</v>
      </c>
      <c r="CD30" s="113" t="s">
        <v>580</v>
      </c>
      <c r="CE30" s="206">
        <v>7.7034386056030408E-3</v>
      </c>
      <c r="CF30" s="205">
        <f t="shared" si="8"/>
        <v>7.7034386056030408</v>
      </c>
      <c r="CH30" s="303">
        <v>7</v>
      </c>
      <c r="CI30" s="113" t="s">
        <v>638</v>
      </c>
      <c r="CJ30" s="205">
        <v>529.83643199650373</v>
      </c>
      <c r="CL30" s="304">
        <v>28</v>
      </c>
      <c r="CM30" s="113" t="s">
        <v>63</v>
      </c>
      <c r="CN30" s="206">
        <v>1.1945336863420801</v>
      </c>
      <c r="CO30" s="205">
        <f t="shared" si="9"/>
        <v>1194.53368634208</v>
      </c>
      <c r="CQ30" s="306">
        <v>45</v>
      </c>
      <c r="CR30" s="113" t="s">
        <v>448</v>
      </c>
      <c r="CS30" s="205">
        <v>20.98471159566467</v>
      </c>
      <c r="CU30" s="303">
        <v>8</v>
      </c>
      <c r="CV30" s="113" t="s">
        <v>639</v>
      </c>
      <c r="CW30" s="206">
        <v>4.2303734918122789E-2</v>
      </c>
      <c r="CX30" s="205">
        <f t="shared" si="10"/>
        <v>42.303734918122785</v>
      </c>
      <c r="CZ30" s="303">
        <v>8</v>
      </c>
      <c r="DA30" s="113" t="s">
        <v>639</v>
      </c>
      <c r="DB30" s="205">
        <f>('nutrient content'!AA10/9)/calculations!C13</f>
        <v>3.7554921200419136</v>
      </c>
      <c r="DD30" s="303">
        <v>22</v>
      </c>
      <c r="DE30" s="113" t="s">
        <v>430</v>
      </c>
      <c r="DF30" s="206">
        <v>1.0845148562247383E-2</v>
      </c>
      <c r="DG30" s="205">
        <f t="shared" si="11"/>
        <v>10.845148562247383</v>
      </c>
      <c r="DI30" s="304">
        <v>31</v>
      </c>
      <c r="DJ30" s="113" t="s">
        <v>315</v>
      </c>
      <c r="DK30" s="205">
        <v>40.816187406982344</v>
      </c>
      <c r="DM30" s="302">
        <v>5</v>
      </c>
      <c r="DN30" s="113" t="s">
        <v>37</v>
      </c>
      <c r="DO30" s="206">
        <v>5.486388328744396E-2</v>
      </c>
      <c r="DP30" s="205">
        <f t="shared" si="12"/>
        <v>54.863883287443961</v>
      </c>
    </row>
    <row r="31" spans="1:120" s="204" customFormat="1" x14ac:dyDescent="0.2">
      <c r="A31" s="302">
        <v>3</v>
      </c>
      <c r="B31" s="308" t="s">
        <v>29</v>
      </c>
      <c r="C31" s="309">
        <v>478.93519161420704</v>
      </c>
      <c r="E31" s="304">
        <v>30</v>
      </c>
      <c r="F31" s="113" t="s">
        <v>322</v>
      </c>
      <c r="G31" s="205">
        <v>125.45185047422356</v>
      </c>
      <c r="I31" s="303">
        <v>10</v>
      </c>
      <c r="J31" s="113" t="s">
        <v>642</v>
      </c>
      <c r="K31" s="205">
        <v>0.2481241678303161</v>
      </c>
      <c r="L31" s="205">
        <f t="shared" si="0"/>
        <v>248.12416783031611</v>
      </c>
      <c r="N31" s="306">
        <v>51</v>
      </c>
      <c r="O31" s="113" t="s">
        <v>330</v>
      </c>
      <c r="P31" s="205">
        <v>3.81029765080303</v>
      </c>
      <c r="R31" s="304">
        <v>36</v>
      </c>
      <c r="S31" s="113" t="s">
        <v>582</v>
      </c>
      <c r="T31" s="205">
        <v>6.7402959957303995E-3</v>
      </c>
      <c r="U31" s="205">
        <f t="shared" si="1"/>
        <v>6.7402959957303992</v>
      </c>
      <c r="W31" s="307">
        <v>55</v>
      </c>
      <c r="X31" s="113" t="s">
        <v>50</v>
      </c>
      <c r="Y31" s="205">
        <v>75.646329050409534</v>
      </c>
      <c r="AA31" s="302">
        <v>5</v>
      </c>
      <c r="AB31" s="113" t="s">
        <v>37</v>
      </c>
      <c r="AC31" s="205">
        <v>0.17174705381351923</v>
      </c>
      <c r="AD31" s="205">
        <f t="shared" si="2"/>
        <v>171.74705381351924</v>
      </c>
      <c r="AF31" s="304">
        <v>36</v>
      </c>
      <c r="AG31" s="113" t="s">
        <v>582</v>
      </c>
      <c r="AH31" s="205">
        <v>125.60265799489406</v>
      </c>
      <c r="AJ31" s="303">
        <v>12</v>
      </c>
      <c r="AK31" s="113" t="s">
        <v>454</v>
      </c>
      <c r="AL31" s="205">
        <v>0.25050320429032102</v>
      </c>
      <c r="AM31" s="205">
        <f t="shared" si="3"/>
        <v>250.50320429032104</v>
      </c>
      <c r="AO31" s="303">
        <v>16</v>
      </c>
      <c r="AP31" s="113" t="s">
        <v>553</v>
      </c>
      <c r="AQ31" s="205">
        <v>6.6901370356859946</v>
      </c>
      <c r="AS31" s="303">
        <v>16</v>
      </c>
      <c r="AT31" s="113" t="s">
        <v>553</v>
      </c>
      <c r="AU31" s="205">
        <v>1.5335262478070519E-2</v>
      </c>
      <c r="AV31" s="205">
        <f t="shared" si="4"/>
        <v>15.33526247807052</v>
      </c>
      <c r="AX31" s="303">
        <v>17</v>
      </c>
      <c r="AY31" s="113" t="s">
        <v>554</v>
      </c>
      <c r="AZ31" s="205">
        <v>0.45408550688739235</v>
      </c>
      <c r="BB31" s="306">
        <v>48</v>
      </c>
      <c r="BC31" s="113" t="s">
        <v>155</v>
      </c>
      <c r="BD31" s="206">
        <v>1.2261997841524397E-3</v>
      </c>
      <c r="BE31" s="205">
        <f t="shared" si="5"/>
        <v>1.2261997841524397</v>
      </c>
      <c r="BG31" s="304">
        <v>26</v>
      </c>
      <c r="BH31" s="113" t="s">
        <v>329</v>
      </c>
      <c r="BI31" s="205">
        <v>0.48827804956435283</v>
      </c>
      <c r="BK31" s="304">
        <v>37</v>
      </c>
      <c r="BL31" s="113" t="s">
        <v>455</v>
      </c>
      <c r="BM31" s="206">
        <v>1.0371778940685178E-3</v>
      </c>
      <c r="BN31" s="205">
        <f t="shared" si="6"/>
        <v>1.0371778940685179</v>
      </c>
      <c r="BP31" s="303">
        <v>16</v>
      </c>
      <c r="BQ31" s="113" t="s">
        <v>553</v>
      </c>
      <c r="BR31" s="205">
        <v>658.42297033731359</v>
      </c>
      <c r="BT31" s="303">
        <v>11</v>
      </c>
      <c r="BU31" s="113" t="s">
        <v>564</v>
      </c>
      <c r="BV31" s="205">
        <v>1.5998754591545903</v>
      </c>
      <c r="BW31" s="205">
        <f t="shared" si="7"/>
        <v>1599.8754591545903</v>
      </c>
      <c r="BY31" s="303">
        <v>18</v>
      </c>
      <c r="BZ31" s="113" t="s">
        <v>578</v>
      </c>
      <c r="CA31" s="205">
        <v>3.2482169774407055</v>
      </c>
      <c r="CC31" s="304">
        <v>36</v>
      </c>
      <c r="CD31" s="113" t="s">
        <v>582</v>
      </c>
      <c r="CE31" s="206">
        <v>7.6717811349777884E-3</v>
      </c>
      <c r="CF31" s="205">
        <f t="shared" si="8"/>
        <v>7.6717811349777882</v>
      </c>
      <c r="CH31" s="302">
        <v>1</v>
      </c>
      <c r="CI31" s="113" t="s">
        <v>577</v>
      </c>
      <c r="CJ31" s="205">
        <v>494.43750629214912</v>
      </c>
      <c r="CL31" s="306">
        <v>44</v>
      </c>
      <c r="CM31" s="113" t="s">
        <v>176</v>
      </c>
      <c r="CN31" s="206">
        <v>1.1702251230487202</v>
      </c>
      <c r="CO31" s="205">
        <f t="shared" si="9"/>
        <v>1170.2251230487202</v>
      </c>
      <c r="CQ31" s="302">
        <v>2</v>
      </c>
      <c r="CR31" s="113" t="s">
        <v>316</v>
      </c>
      <c r="CS31" s="205">
        <v>18.622713212541914</v>
      </c>
      <c r="CU31" s="303">
        <v>22</v>
      </c>
      <c r="CV31" s="113" t="s">
        <v>430</v>
      </c>
      <c r="CW31" s="206">
        <v>4.0173802839885371E-2</v>
      </c>
      <c r="CX31" s="205">
        <f t="shared" si="10"/>
        <v>40.173802839885369</v>
      </c>
      <c r="CZ31" s="304">
        <v>26</v>
      </c>
      <c r="DA31" s="113" t="s">
        <v>329</v>
      </c>
      <c r="DB31" s="205">
        <f>('nutrient content'!AA28/9)/calculations!C31</f>
        <v>3.9177289637760779</v>
      </c>
      <c r="DD31" s="304">
        <v>33</v>
      </c>
      <c r="DE31" s="113" t="s">
        <v>331</v>
      </c>
      <c r="DF31" s="206">
        <v>1.0550450660766443E-2</v>
      </c>
      <c r="DG31" s="205">
        <f t="shared" si="11"/>
        <v>10.550450660766442</v>
      </c>
      <c r="DI31" s="306">
        <v>43</v>
      </c>
      <c r="DJ31" s="113" t="s">
        <v>332</v>
      </c>
      <c r="DK31" s="205">
        <v>31.263946383986781</v>
      </c>
      <c r="DM31" s="307">
        <v>54</v>
      </c>
      <c r="DN31" s="113" t="s">
        <v>49</v>
      </c>
      <c r="DO31" s="206">
        <v>5.296106155369041E-2</v>
      </c>
      <c r="DP31" s="205">
        <f t="shared" si="12"/>
        <v>52.961061553690406</v>
      </c>
    </row>
    <row r="32" spans="1:120" s="204" customFormat="1" x14ac:dyDescent="0.2">
      <c r="A32" s="303">
        <v>21</v>
      </c>
      <c r="B32" s="308" t="s">
        <v>580</v>
      </c>
      <c r="C32" s="309">
        <v>478.90283141001294</v>
      </c>
      <c r="E32" s="303">
        <v>24</v>
      </c>
      <c r="F32" s="113" t="s">
        <v>15</v>
      </c>
      <c r="G32" s="205">
        <v>121.18086443626851</v>
      </c>
      <c r="I32" s="304">
        <v>25</v>
      </c>
      <c r="J32" s="113" t="s">
        <v>602</v>
      </c>
      <c r="K32" s="205">
        <v>0.24590705879242317</v>
      </c>
      <c r="L32" s="205">
        <f t="shared" si="0"/>
        <v>245.90705879242316</v>
      </c>
      <c r="N32" s="307">
        <v>54</v>
      </c>
      <c r="O32" s="113" t="s">
        <v>49</v>
      </c>
      <c r="P32" s="205">
        <v>3.6862714621114159</v>
      </c>
      <c r="R32" s="304">
        <v>32</v>
      </c>
      <c r="S32" s="113" t="s">
        <v>429</v>
      </c>
      <c r="T32" s="205">
        <v>4.9895194697365782E-3</v>
      </c>
      <c r="U32" s="205">
        <f t="shared" si="1"/>
        <v>4.9895194697365781</v>
      </c>
      <c r="W32" s="302">
        <v>2</v>
      </c>
      <c r="X32" s="113" t="s">
        <v>316</v>
      </c>
      <c r="Y32" s="205">
        <v>68.45051385780225</v>
      </c>
      <c r="AA32" s="304">
        <v>32</v>
      </c>
      <c r="AB32" s="113" t="s">
        <v>429</v>
      </c>
      <c r="AC32" s="205">
        <v>0.16499978626913167</v>
      </c>
      <c r="AD32" s="205">
        <f t="shared" si="2"/>
        <v>164.99978626913168</v>
      </c>
      <c r="AF32" s="306">
        <v>50</v>
      </c>
      <c r="AG32" s="113" t="s">
        <v>423</v>
      </c>
      <c r="AH32" s="205">
        <v>123.7162308318143</v>
      </c>
      <c r="AJ32" s="306">
        <v>43</v>
      </c>
      <c r="AK32" s="113" t="s">
        <v>332</v>
      </c>
      <c r="AL32" s="205">
        <v>0.24351178093276094</v>
      </c>
      <c r="AM32" s="205">
        <f t="shared" si="3"/>
        <v>243.51178093276093</v>
      </c>
      <c r="AO32" s="302">
        <v>4</v>
      </c>
      <c r="AP32" s="113" t="s">
        <v>36</v>
      </c>
      <c r="AQ32" s="205">
        <v>6.4774605773649547</v>
      </c>
      <c r="AS32" s="307">
        <v>58</v>
      </c>
      <c r="AT32" s="113" t="s">
        <v>326</v>
      </c>
      <c r="AU32" s="205">
        <v>1.1987337060688334E-2</v>
      </c>
      <c r="AV32" s="205">
        <f t="shared" si="4"/>
        <v>11.987337060688333</v>
      </c>
      <c r="AX32" s="303">
        <v>18</v>
      </c>
      <c r="AY32" s="113" t="s">
        <v>578</v>
      </c>
      <c r="AZ32" s="205">
        <v>0.44346210684818871</v>
      </c>
      <c r="BB32" s="306">
        <v>52</v>
      </c>
      <c r="BC32" s="113" t="s">
        <v>422</v>
      </c>
      <c r="BD32" s="206">
        <v>1.09692941549538E-3</v>
      </c>
      <c r="BE32" s="205">
        <f t="shared" si="5"/>
        <v>1.0969294154953799</v>
      </c>
      <c r="BG32" s="303">
        <v>15</v>
      </c>
      <c r="BH32" s="113" t="s">
        <v>458</v>
      </c>
      <c r="BI32" s="205">
        <v>0.46425891544609338</v>
      </c>
      <c r="BK32" s="306">
        <v>50</v>
      </c>
      <c r="BL32" s="113" t="s">
        <v>423</v>
      </c>
      <c r="BM32" s="206">
        <v>8.4429361310951008E-4</v>
      </c>
      <c r="BN32" s="205">
        <f t="shared" si="6"/>
        <v>0.84429361310951012</v>
      </c>
      <c r="BP32" s="304">
        <v>29</v>
      </c>
      <c r="BQ32" s="113" t="s">
        <v>615</v>
      </c>
      <c r="BR32" s="205">
        <v>608.59700781515789</v>
      </c>
      <c r="BT32" s="303">
        <v>16</v>
      </c>
      <c r="BU32" s="113" t="s">
        <v>553</v>
      </c>
      <c r="BV32" s="205">
        <v>1.509249962721908</v>
      </c>
      <c r="BW32" s="205">
        <f t="shared" si="7"/>
        <v>1509.2499627219081</v>
      </c>
      <c r="BY32" s="306">
        <v>53</v>
      </c>
      <c r="BZ32" s="113" t="s">
        <v>333</v>
      </c>
      <c r="CA32" s="205">
        <v>3.2040232486333875</v>
      </c>
      <c r="CC32" s="303">
        <v>19</v>
      </c>
      <c r="CD32" s="113" t="s">
        <v>555</v>
      </c>
      <c r="CE32" s="206">
        <v>7.5775193711422996E-3</v>
      </c>
      <c r="CF32" s="205">
        <f t="shared" si="8"/>
        <v>7.5775193711422997</v>
      </c>
      <c r="CH32" s="306">
        <v>50</v>
      </c>
      <c r="CI32" s="113" t="s">
        <v>423</v>
      </c>
      <c r="CJ32" s="205">
        <v>464.45611823326391</v>
      </c>
      <c r="CL32" s="306">
        <v>46</v>
      </c>
      <c r="CM32" s="113" t="s">
        <v>535</v>
      </c>
      <c r="CN32" s="206">
        <v>1.1366185477116042</v>
      </c>
      <c r="CO32" s="205">
        <f t="shared" si="9"/>
        <v>1136.6185477116042</v>
      </c>
      <c r="CQ32" s="303">
        <v>16</v>
      </c>
      <c r="CR32" s="113" t="s">
        <v>553</v>
      </c>
      <c r="CS32" s="205">
        <v>17.170234081648584</v>
      </c>
      <c r="CU32" s="303">
        <v>16</v>
      </c>
      <c r="CV32" s="113" t="s">
        <v>553</v>
      </c>
      <c r="CW32" s="206">
        <v>3.9357945143345452E-2</v>
      </c>
      <c r="CX32" s="205">
        <f t="shared" si="10"/>
        <v>39.357945143345454</v>
      </c>
      <c r="CZ32" s="303">
        <v>10</v>
      </c>
      <c r="DA32" s="113" t="s">
        <v>642</v>
      </c>
      <c r="DB32" s="205">
        <f>('nutrient content'!AA12/9)/calculations!C15</f>
        <v>3.4728028307721419</v>
      </c>
      <c r="DD32" s="303">
        <v>11</v>
      </c>
      <c r="DE32" s="113" t="s">
        <v>564</v>
      </c>
      <c r="DF32" s="206">
        <v>1.0424828465285857E-2</v>
      </c>
      <c r="DG32" s="205">
        <f t="shared" si="11"/>
        <v>10.424828465285858</v>
      </c>
      <c r="DI32" s="304">
        <v>26</v>
      </c>
      <c r="DJ32" s="113" t="s">
        <v>329</v>
      </c>
      <c r="DK32" s="205">
        <v>29.675319518004457</v>
      </c>
      <c r="DM32" s="306">
        <v>44</v>
      </c>
      <c r="DN32" s="113" t="s">
        <v>176</v>
      </c>
      <c r="DO32" s="206">
        <v>4.0010413337309279E-2</v>
      </c>
      <c r="DP32" s="205">
        <f t="shared" si="12"/>
        <v>40.010413337309281</v>
      </c>
    </row>
    <row r="33" spans="1:120" s="204" customFormat="1" x14ac:dyDescent="0.2">
      <c r="A33" s="302">
        <v>5</v>
      </c>
      <c r="B33" s="308" t="s">
        <v>37</v>
      </c>
      <c r="C33" s="309">
        <v>460.49292464400543</v>
      </c>
      <c r="E33" s="307">
        <v>54</v>
      </c>
      <c r="F33" s="113" t="s">
        <v>49</v>
      </c>
      <c r="G33" s="205">
        <v>120.35317010576934</v>
      </c>
      <c r="I33" s="306">
        <v>43</v>
      </c>
      <c r="J33" s="113" t="s">
        <v>332</v>
      </c>
      <c r="K33" s="205">
        <v>0.24077298195081956</v>
      </c>
      <c r="L33" s="205">
        <f t="shared" si="0"/>
        <v>240.77298195081957</v>
      </c>
      <c r="N33" s="304">
        <v>32</v>
      </c>
      <c r="O33" s="113" t="s">
        <v>429</v>
      </c>
      <c r="P33" s="205">
        <v>3.2351962584213125</v>
      </c>
      <c r="R33" s="304">
        <v>31</v>
      </c>
      <c r="S33" s="113" t="s">
        <v>315</v>
      </c>
      <c r="T33" s="205">
        <v>4.9609074663088046E-3</v>
      </c>
      <c r="U33" s="205">
        <f t="shared" si="1"/>
        <v>4.9609074663088046</v>
      </c>
      <c r="W33" s="305">
        <v>39</v>
      </c>
      <c r="X33" s="113" t="s">
        <v>583</v>
      </c>
      <c r="Y33" s="205">
        <v>65.761378267397362</v>
      </c>
      <c r="AA33" s="303">
        <v>24</v>
      </c>
      <c r="AB33" s="113" t="s">
        <v>15</v>
      </c>
      <c r="AC33" s="205">
        <v>0.14579420529549061</v>
      </c>
      <c r="AD33" s="205">
        <f t="shared" si="2"/>
        <v>145.79420529549063</v>
      </c>
      <c r="AF33" s="303">
        <v>18</v>
      </c>
      <c r="AG33" s="113" t="s">
        <v>578</v>
      </c>
      <c r="AH33" s="205">
        <v>89.628771474536677</v>
      </c>
      <c r="AJ33" s="303">
        <v>11</v>
      </c>
      <c r="AK33" s="113" t="s">
        <v>564</v>
      </c>
      <c r="AL33" s="205">
        <v>0.21512639132064712</v>
      </c>
      <c r="AM33" s="205">
        <f t="shared" si="3"/>
        <v>215.12639132064712</v>
      </c>
      <c r="AO33" s="303">
        <v>12</v>
      </c>
      <c r="AP33" s="113" t="s">
        <v>454</v>
      </c>
      <c r="AQ33" s="205">
        <v>5.8476270000843957</v>
      </c>
      <c r="AS33" s="303">
        <v>23</v>
      </c>
      <c r="AT33" s="113" t="s">
        <v>581</v>
      </c>
      <c r="AU33" s="205">
        <v>1.1513201812337372E-2</v>
      </c>
      <c r="AV33" s="205">
        <f t="shared" si="4"/>
        <v>11.513201812337371</v>
      </c>
      <c r="AX33" s="307">
        <v>54</v>
      </c>
      <c r="AY33" s="113" t="s">
        <v>49</v>
      </c>
      <c r="AZ33" s="205">
        <v>0.42997494133414565</v>
      </c>
      <c r="BB33" s="303">
        <v>14</v>
      </c>
      <c r="BC33" s="113" t="s">
        <v>456</v>
      </c>
      <c r="BD33" s="206">
        <v>1.0734041230156673E-3</v>
      </c>
      <c r="BE33" s="205">
        <f t="shared" si="5"/>
        <v>1.0734041230156672</v>
      </c>
      <c r="BG33" s="306">
        <v>49</v>
      </c>
      <c r="BH33" s="113" t="s">
        <v>48</v>
      </c>
      <c r="BI33" s="205">
        <v>0.39318372886711561</v>
      </c>
      <c r="BK33" s="303">
        <v>23</v>
      </c>
      <c r="BL33" s="113" t="s">
        <v>581</v>
      </c>
      <c r="BM33" s="206">
        <v>7.9298824407998258E-4</v>
      </c>
      <c r="BN33" s="205">
        <f t="shared" si="6"/>
        <v>0.79298824407998258</v>
      </c>
      <c r="BP33" s="306">
        <v>46</v>
      </c>
      <c r="BQ33" s="113" t="s">
        <v>535</v>
      </c>
      <c r="BR33" s="205">
        <v>586.85576888772528</v>
      </c>
      <c r="BT33" s="307">
        <v>57</v>
      </c>
      <c r="BU33" s="113" t="s">
        <v>641</v>
      </c>
      <c r="BV33" s="205">
        <v>1.3370457578507942</v>
      </c>
      <c r="BW33" s="205">
        <f t="shared" si="7"/>
        <v>1337.0457578507942</v>
      </c>
      <c r="BY33" s="306">
        <v>44</v>
      </c>
      <c r="BZ33" s="113" t="s">
        <v>176</v>
      </c>
      <c r="CA33" s="205">
        <v>2.8320605724921526</v>
      </c>
      <c r="CC33" s="304">
        <v>32</v>
      </c>
      <c r="CD33" s="113" t="s">
        <v>429</v>
      </c>
      <c r="CE33" s="206">
        <v>7.1110130323673703E-3</v>
      </c>
      <c r="CF33" s="205">
        <f t="shared" si="8"/>
        <v>7.1110130323673699</v>
      </c>
      <c r="CH33" s="306">
        <v>45</v>
      </c>
      <c r="CI33" s="113" t="s">
        <v>448</v>
      </c>
      <c r="CJ33" s="205">
        <v>458.71935911894133</v>
      </c>
      <c r="CL33" s="304">
        <v>29</v>
      </c>
      <c r="CM33" s="113" t="s">
        <v>615</v>
      </c>
      <c r="CN33" s="206">
        <v>1.1337866912784786</v>
      </c>
      <c r="CO33" s="205">
        <f t="shared" si="9"/>
        <v>1133.7866912784787</v>
      </c>
      <c r="CQ33" s="303">
        <v>8</v>
      </c>
      <c r="CR33" s="113" t="s">
        <v>639</v>
      </c>
      <c r="CS33" s="205">
        <v>16.444578157862658</v>
      </c>
      <c r="CU33" s="304">
        <v>32</v>
      </c>
      <c r="CV33" s="113" t="s">
        <v>429</v>
      </c>
      <c r="CW33" s="206">
        <v>3.9273717494424897E-2</v>
      </c>
      <c r="CX33" s="205">
        <f t="shared" si="10"/>
        <v>39.273717494424893</v>
      </c>
      <c r="CZ33" s="303">
        <v>16</v>
      </c>
      <c r="DA33" s="113" t="s">
        <v>553</v>
      </c>
      <c r="DB33" s="205">
        <f>('nutrient content'!AA18/9)/calculations!C21</f>
        <v>3.1860785415113519</v>
      </c>
      <c r="DD33" s="302">
        <v>5</v>
      </c>
      <c r="DE33" s="113" t="s">
        <v>37</v>
      </c>
      <c r="DF33" s="206">
        <v>9.8310544799561535E-3</v>
      </c>
      <c r="DG33" s="205">
        <f t="shared" si="11"/>
        <v>9.831054479956153</v>
      </c>
      <c r="DI33" s="302">
        <v>5</v>
      </c>
      <c r="DJ33" s="113" t="s">
        <v>37</v>
      </c>
      <c r="DK33" s="205">
        <v>25.264430072362437</v>
      </c>
      <c r="DM33" s="306">
        <v>50</v>
      </c>
      <c r="DN33" s="113" t="s">
        <v>423</v>
      </c>
      <c r="DO33" s="206">
        <v>3.8830404559045718E-2</v>
      </c>
      <c r="DP33" s="205">
        <f t="shared" si="12"/>
        <v>38.830404559045718</v>
      </c>
    </row>
    <row r="34" spans="1:120" s="204" customFormat="1" x14ac:dyDescent="0.2">
      <c r="A34" s="304">
        <v>28</v>
      </c>
      <c r="B34" s="308" t="s">
        <v>63</v>
      </c>
      <c r="C34" s="309">
        <v>446.28642553898283</v>
      </c>
      <c r="E34" s="303">
        <v>10</v>
      </c>
      <c r="F34" s="113" t="s">
        <v>642</v>
      </c>
      <c r="G34" s="205">
        <v>96.779172643479768</v>
      </c>
      <c r="I34" s="303">
        <v>11</v>
      </c>
      <c r="J34" s="113" t="s">
        <v>564</v>
      </c>
      <c r="K34" s="205">
        <v>0.23353930888928456</v>
      </c>
      <c r="L34" s="205">
        <f t="shared" si="0"/>
        <v>233.53930888928457</v>
      </c>
      <c r="N34" s="302">
        <v>5</v>
      </c>
      <c r="O34" s="113" t="s">
        <v>37</v>
      </c>
      <c r="P34" s="205">
        <v>3.1285016100846619</v>
      </c>
      <c r="R34" s="305">
        <v>38</v>
      </c>
      <c r="S34" s="113" t="s">
        <v>605</v>
      </c>
      <c r="T34" s="205">
        <v>4.7265274187432227E-3</v>
      </c>
      <c r="U34" s="205">
        <f t="shared" si="1"/>
        <v>4.7265274187432231</v>
      </c>
      <c r="W34" s="306">
        <v>45</v>
      </c>
      <c r="X34" s="113" t="s">
        <v>448</v>
      </c>
      <c r="Y34" s="205">
        <v>64.900255999094256</v>
      </c>
      <c r="AA34" s="305">
        <v>41</v>
      </c>
      <c r="AB34" s="113" t="s">
        <v>584</v>
      </c>
      <c r="AC34" s="205">
        <v>0.14034669023049046</v>
      </c>
      <c r="AD34" s="205">
        <f t="shared" si="2"/>
        <v>140.34669023049045</v>
      </c>
      <c r="AF34" s="303">
        <v>12</v>
      </c>
      <c r="AG34" s="113" t="s">
        <v>454</v>
      </c>
      <c r="AH34" s="205">
        <v>75.549238048708716</v>
      </c>
      <c r="AJ34" s="305">
        <v>38</v>
      </c>
      <c r="AK34" s="113" t="s">
        <v>605</v>
      </c>
      <c r="AL34" s="205">
        <v>0.19719120690254566</v>
      </c>
      <c r="AM34" s="205">
        <f t="shared" si="3"/>
        <v>197.19120690254564</v>
      </c>
      <c r="AO34" s="304">
        <v>33</v>
      </c>
      <c r="AP34" s="113" t="s">
        <v>331</v>
      </c>
      <c r="AQ34" s="205">
        <v>5.4013808920407049</v>
      </c>
      <c r="AS34" s="302">
        <v>4</v>
      </c>
      <c r="AT34" s="113" t="s">
        <v>36</v>
      </c>
      <c r="AU34" s="205">
        <v>1.1170039368117489E-2</v>
      </c>
      <c r="AV34" s="205">
        <f t="shared" si="4"/>
        <v>11.170039368117489</v>
      </c>
      <c r="AX34" s="304">
        <v>26</v>
      </c>
      <c r="AY34" s="113" t="s">
        <v>329</v>
      </c>
      <c r="AZ34" s="205">
        <v>0.42718541891751582</v>
      </c>
      <c r="BB34" s="303">
        <v>7</v>
      </c>
      <c r="BC34" s="113" t="s">
        <v>638</v>
      </c>
      <c r="BD34" s="206">
        <v>1.0589277834133061E-3</v>
      </c>
      <c r="BE34" s="205">
        <f t="shared" si="5"/>
        <v>1.0589277834133062</v>
      </c>
      <c r="BG34" s="303">
        <v>17</v>
      </c>
      <c r="BH34" s="113" t="s">
        <v>554</v>
      </c>
      <c r="BI34" s="205">
        <v>0.3541296511733461</v>
      </c>
      <c r="BK34" s="304">
        <v>33</v>
      </c>
      <c r="BL34" s="113" t="s">
        <v>331</v>
      </c>
      <c r="BM34" s="206">
        <v>5.5381905990044495E-4</v>
      </c>
      <c r="BN34" s="205">
        <f t="shared" si="6"/>
        <v>0.553819059900445</v>
      </c>
      <c r="BP34" s="304">
        <v>26</v>
      </c>
      <c r="BQ34" s="113" t="s">
        <v>329</v>
      </c>
      <c r="BR34" s="205">
        <v>584.36118763094373</v>
      </c>
      <c r="BT34" s="302">
        <v>4</v>
      </c>
      <c r="BU34" s="113" t="s">
        <v>36</v>
      </c>
      <c r="BV34" s="205">
        <v>1.3256300597752548</v>
      </c>
      <c r="BW34" s="205">
        <f t="shared" si="7"/>
        <v>1325.6300597752547</v>
      </c>
      <c r="BY34" s="306">
        <v>52</v>
      </c>
      <c r="BZ34" s="113" t="s">
        <v>422</v>
      </c>
      <c r="CA34" s="205">
        <v>2.6479867753488451</v>
      </c>
      <c r="CC34" s="303">
        <v>11</v>
      </c>
      <c r="CD34" s="113" t="s">
        <v>564</v>
      </c>
      <c r="CE34" s="206">
        <v>7.1053786353951548E-3</v>
      </c>
      <c r="CF34" s="205">
        <f t="shared" si="8"/>
        <v>7.1053786353951551</v>
      </c>
      <c r="CH34" s="306">
        <v>52</v>
      </c>
      <c r="CI34" s="113" t="s">
        <v>422</v>
      </c>
      <c r="CJ34" s="205">
        <v>416.17671552452532</v>
      </c>
      <c r="CL34" s="304">
        <v>32</v>
      </c>
      <c r="CM34" s="113" t="s">
        <v>429</v>
      </c>
      <c r="CN34" s="206">
        <v>1.1160817375472871</v>
      </c>
      <c r="CO34" s="205">
        <f t="shared" si="9"/>
        <v>1116.081737547287</v>
      </c>
      <c r="CQ34" s="304">
        <v>30</v>
      </c>
      <c r="CR34" s="113" t="s">
        <v>322</v>
      </c>
      <c r="CS34" s="205">
        <v>15.700403179834231</v>
      </c>
      <c r="CU34" s="306">
        <v>45</v>
      </c>
      <c r="CV34" s="113" t="s">
        <v>448</v>
      </c>
      <c r="CW34" s="206">
        <v>3.6464836712329411E-2</v>
      </c>
      <c r="CX34" s="205">
        <f t="shared" si="10"/>
        <v>36.464836712329408</v>
      </c>
      <c r="CZ34" s="304">
        <v>25</v>
      </c>
      <c r="DA34" s="113" t="s">
        <v>602</v>
      </c>
      <c r="DB34" s="205">
        <f>('nutrient content'!AA27/9)/calculations!C30</f>
        <v>4.5662495487278614</v>
      </c>
      <c r="DD34" s="306">
        <v>45</v>
      </c>
      <c r="DE34" s="113" t="s">
        <v>448</v>
      </c>
      <c r="DF34" s="206">
        <v>9.6378042080444096E-3</v>
      </c>
      <c r="DG34" s="205">
        <f t="shared" si="11"/>
        <v>9.6378042080444093</v>
      </c>
      <c r="DI34" s="304">
        <v>25</v>
      </c>
      <c r="DJ34" s="113" t="s">
        <v>602</v>
      </c>
      <c r="DK34" s="205">
        <v>21.798787865118637</v>
      </c>
      <c r="DM34" s="306">
        <v>49</v>
      </c>
      <c r="DN34" s="113" t="s">
        <v>48</v>
      </c>
      <c r="DO34" s="206">
        <v>3.3015511368233039E-2</v>
      </c>
      <c r="DP34" s="205">
        <f t="shared" si="12"/>
        <v>33.015511368233035</v>
      </c>
    </row>
    <row r="35" spans="1:120" s="204" customFormat="1" x14ac:dyDescent="0.2">
      <c r="A35" s="303">
        <v>15</v>
      </c>
      <c r="B35" s="308" t="s">
        <v>458</v>
      </c>
      <c r="C35" s="309">
        <v>438.02656291818408</v>
      </c>
      <c r="E35" s="306">
        <v>50</v>
      </c>
      <c r="F35" s="113" t="s">
        <v>423</v>
      </c>
      <c r="G35" s="205">
        <v>83.36832933468412</v>
      </c>
      <c r="I35" s="304">
        <v>35</v>
      </c>
      <c r="J35" s="113" t="s">
        <v>563</v>
      </c>
      <c r="K35" s="205">
        <v>0.22049842764867764</v>
      </c>
      <c r="L35" s="205">
        <f t="shared" si="0"/>
        <v>220.49842764867765</v>
      </c>
      <c r="N35" s="302">
        <v>4</v>
      </c>
      <c r="O35" s="113" t="s">
        <v>36</v>
      </c>
      <c r="P35" s="205">
        <v>2.554854720447465</v>
      </c>
      <c r="R35" s="302">
        <v>4</v>
      </c>
      <c r="S35" s="113" t="s">
        <v>36</v>
      </c>
      <c r="T35" s="205">
        <v>4.4057123106148247E-3</v>
      </c>
      <c r="U35" s="205">
        <f t="shared" si="1"/>
        <v>4.4057123106148248</v>
      </c>
      <c r="W35" s="304">
        <v>30</v>
      </c>
      <c r="X35" s="113" t="s">
        <v>322</v>
      </c>
      <c r="Y35" s="205">
        <v>64.511832882740848</v>
      </c>
      <c r="AA35" s="303">
        <v>13</v>
      </c>
      <c r="AB35" s="113" t="s">
        <v>565</v>
      </c>
      <c r="AC35" s="205">
        <v>0.12853591371903447</v>
      </c>
      <c r="AD35" s="205">
        <f t="shared" si="2"/>
        <v>128.53591371903448</v>
      </c>
      <c r="AF35" s="303">
        <v>21</v>
      </c>
      <c r="AG35" s="113" t="s">
        <v>580</v>
      </c>
      <c r="AH35" s="205">
        <v>58.940204380176858</v>
      </c>
      <c r="AJ35" s="304">
        <v>33</v>
      </c>
      <c r="AK35" s="113" t="s">
        <v>331</v>
      </c>
      <c r="AL35" s="205">
        <v>0.17985547689564388</v>
      </c>
      <c r="AM35" s="205">
        <f t="shared" si="3"/>
        <v>179.85547689564387</v>
      </c>
      <c r="AO35" s="303">
        <v>21</v>
      </c>
      <c r="AP35" s="113" t="s">
        <v>580</v>
      </c>
      <c r="AQ35" s="205">
        <v>5.2611702196884327</v>
      </c>
      <c r="AS35" s="303">
        <v>21</v>
      </c>
      <c r="AT35" s="113" t="s">
        <v>580</v>
      </c>
      <c r="AU35" s="205">
        <v>1.0985882468471101E-2</v>
      </c>
      <c r="AV35" s="205">
        <f t="shared" si="4"/>
        <v>10.9858824684711</v>
      </c>
      <c r="AX35" s="302">
        <v>1</v>
      </c>
      <c r="AY35" s="113" t="s">
        <v>577</v>
      </c>
      <c r="AZ35" s="205">
        <v>0.42354202115864054</v>
      </c>
      <c r="BB35" s="303">
        <v>11</v>
      </c>
      <c r="BC35" s="113" t="s">
        <v>564</v>
      </c>
      <c r="BD35" s="206">
        <v>1.0389267293661214E-3</v>
      </c>
      <c r="BE35" s="205">
        <f t="shared" si="5"/>
        <v>1.0389267293661215</v>
      </c>
      <c r="BG35" s="307">
        <v>54</v>
      </c>
      <c r="BH35" s="113" t="s">
        <v>49</v>
      </c>
      <c r="BI35" s="205">
        <v>0.33985772430760347</v>
      </c>
      <c r="BK35" s="306">
        <v>52</v>
      </c>
      <c r="BL35" s="113" t="s">
        <v>422</v>
      </c>
      <c r="BM35" s="206">
        <v>4.9100038682397217E-4</v>
      </c>
      <c r="BN35" s="205">
        <f t="shared" si="6"/>
        <v>0.49100038682397218</v>
      </c>
      <c r="BP35" s="304">
        <v>30</v>
      </c>
      <c r="BQ35" s="113" t="s">
        <v>322</v>
      </c>
      <c r="BR35" s="205">
        <v>582.18455288086636</v>
      </c>
      <c r="BT35" s="303">
        <v>10</v>
      </c>
      <c r="BU35" s="113" t="s">
        <v>642</v>
      </c>
      <c r="BV35" s="205">
        <v>1.3219385791539358</v>
      </c>
      <c r="BW35" s="205">
        <f t="shared" si="7"/>
        <v>1321.9385791539357</v>
      </c>
      <c r="BY35" s="307">
        <v>54</v>
      </c>
      <c r="BZ35" s="113" t="s">
        <v>49</v>
      </c>
      <c r="CA35" s="205">
        <v>2.5456819050450497</v>
      </c>
      <c r="CC35" s="303">
        <v>7</v>
      </c>
      <c r="CD35" s="113" t="s">
        <v>638</v>
      </c>
      <c r="CE35" s="206">
        <v>6.7466117667771223E-3</v>
      </c>
      <c r="CF35" s="205">
        <f t="shared" si="8"/>
        <v>6.7466117667771224</v>
      </c>
      <c r="CH35" s="303">
        <v>10</v>
      </c>
      <c r="CI35" s="113" t="s">
        <v>642</v>
      </c>
      <c r="CJ35" s="205">
        <v>380.22447821781623</v>
      </c>
      <c r="CL35" s="303">
        <v>17</v>
      </c>
      <c r="CM35" s="113" t="s">
        <v>554</v>
      </c>
      <c r="CN35" s="206">
        <v>1.0183935848574068</v>
      </c>
      <c r="CO35" s="205">
        <f t="shared" si="9"/>
        <v>1018.3935848574068</v>
      </c>
      <c r="CQ35" s="303">
        <v>19</v>
      </c>
      <c r="CR35" s="113" t="s">
        <v>555</v>
      </c>
      <c r="CS35" s="205">
        <v>14.356057008370664</v>
      </c>
      <c r="CU35" s="303">
        <v>23</v>
      </c>
      <c r="CV35" s="113" t="s">
        <v>581</v>
      </c>
      <c r="CW35" s="206">
        <v>3.4992185121591558E-2</v>
      </c>
      <c r="CX35" s="205">
        <f t="shared" si="10"/>
        <v>34.992185121591561</v>
      </c>
      <c r="CZ35" s="303">
        <v>19</v>
      </c>
      <c r="DA35" s="113" t="s">
        <v>555</v>
      </c>
      <c r="DB35" s="205">
        <f>('nutrient content'!AA21/9)/calculations!C24</f>
        <v>3.1878794956117158</v>
      </c>
      <c r="DD35" s="306">
        <v>43</v>
      </c>
      <c r="DE35" s="113" t="s">
        <v>332</v>
      </c>
      <c r="DF35" s="206">
        <v>9.1137914526649381E-3</v>
      </c>
      <c r="DG35" s="205">
        <f t="shared" si="11"/>
        <v>9.1137914526649375</v>
      </c>
      <c r="DI35" s="303">
        <v>23</v>
      </c>
      <c r="DJ35" s="113" t="s">
        <v>581</v>
      </c>
      <c r="DK35" s="205">
        <v>19.195369091518362</v>
      </c>
      <c r="DM35" s="306">
        <v>43</v>
      </c>
      <c r="DN35" s="113" t="s">
        <v>332</v>
      </c>
      <c r="DO35" s="206">
        <v>3.0399560817570427E-2</v>
      </c>
      <c r="DP35" s="205">
        <f t="shared" si="12"/>
        <v>30.399560817570428</v>
      </c>
    </row>
    <row r="36" spans="1:120" s="204" customFormat="1" x14ac:dyDescent="0.2">
      <c r="A36" s="303">
        <v>16</v>
      </c>
      <c r="B36" s="308" t="s">
        <v>553</v>
      </c>
      <c r="C36" s="309">
        <v>436.25839761483803</v>
      </c>
      <c r="E36" s="306">
        <v>53</v>
      </c>
      <c r="F36" s="113" t="s">
        <v>333</v>
      </c>
      <c r="G36" s="205">
        <v>78.765309097741394</v>
      </c>
      <c r="I36" s="305">
        <v>38</v>
      </c>
      <c r="J36" s="113" t="s">
        <v>605</v>
      </c>
      <c r="K36" s="205">
        <v>0.20745283996888009</v>
      </c>
      <c r="L36" s="205">
        <f t="shared" si="0"/>
        <v>207.45283996888008</v>
      </c>
      <c r="N36" s="307">
        <v>58</v>
      </c>
      <c r="O36" s="113" t="s">
        <v>326</v>
      </c>
      <c r="P36" s="205">
        <v>2.1287071434941272</v>
      </c>
      <c r="R36" s="304">
        <v>33</v>
      </c>
      <c r="S36" s="113" t="s">
        <v>331</v>
      </c>
      <c r="T36" s="205">
        <v>4.4004423045228497E-3</v>
      </c>
      <c r="U36" s="205">
        <f t="shared" si="1"/>
        <v>4.4004423045228496</v>
      </c>
      <c r="W36" s="306">
        <v>49</v>
      </c>
      <c r="X36" s="113" t="s">
        <v>48</v>
      </c>
      <c r="Y36" s="205">
        <v>64.45422818644937</v>
      </c>
      <c r="AA36" s="303">
        <v>14</v>
      </c>
      <c r="AB36" s="113" t="s">
        <v>456</v>
      </c>
      <c r="AC36" s="205">
        <v>0.12556376693168037</v>
      </c>
      <c r="AD36" s="205">
        <f t="shared" si="2"/>
        <v>125.56376693168036</v>
      </c>
      <c r="AF36" s="303">
        <v>10</v>
      </c>
      <c r="AG36" s="113" t="s">
        <v>642</v>
      </c>
      <c r="AH36" s="205">
        <v>58.61822751583388</v>
      </c>
      <c r="AJ36" s="304">
        <v>36</v>
      </c>
      <c r="AK36" s="113" t="s">
        <v>582</v>
      </c>
      <c r="AL36" s="205">
        <v>0.16741782687082721</v>
      </c>
      <c r="AM36" s="205">
        <f t="shared" si="3"/>
        <v>167.41782687082721</v>
      </c>
      <c r="AO36" s="302">
        <v>2</v>
      </c>
      <c r="AP36" s="113" t="s">
        <v>316</v>
      </c>
      <c r="AQ36" s="205">
        <v>2.4874917327315611</v>
      </c>
      <c r="AS36" s="303">
        <v>13</v>
      </c>
      <c r="AT36" s="113" t="s">
        <v>565</v>
      </c>
      <c r="AU36" s="205">
        <v>1.027631858207945E-2</v>
      </c>
      <c r="AV36" s="205">
        <f t="shared" si="4"/>
        <v>10.276318582079449</v>
      </c>
      <c r="AX36" s="306">
        <v>44</v>
      </c>
      <c r="AY36" s="113" t="s">
        <v>176</v>
      </c>
      <c r="AZ36" s="205">
        <v>0.39166982875214396</v>
      </c>
      <c r="BB36" s="302">
        <v>5</v>
      </c>
      <c r="BC36" s="113" t="s">
        <v>37</v>
      </c>
      <c r="BD36" s="206">
        <v>1.024070908874764E-3</v>
      </c>
      <c r="BE36" s="205">
        <f t="shared" si="5"/>
        <v>1.0240709088747642</v>
      </c>
      <c r="BG36" s="304">
        <v>25</v>
      </c>
      <c r="BH36" s="113" t="s">
        <v>602</v>
      </c>
      <c r="BI36" s="205">
        <v>0.25722417755971472</v>
      </c>
      <c r="BK36" s="306">
        <v>43</v>
      </c>
      <c r="BL36" s="113" t="s">
        <v>332</v>
      </c>
      <c r="BM36" s="206">
        <v>4.7503218389363482E-4</v>
      </c>
      <c r="BN36" s="205">
        <f t="shared" si="6"/>
        <v>0.47503218389363483</v>
      </c>
      <c r="BP36" s="306">
        <v>44</v>
      </c>
      <c r="BQ36" s="113" t="s">
        <v>176</v>
      </c>
      <c r="BR36" s="205">
        <v>575.85688476901566</v>
      </c>
      <c r="BT36" s="303">
        <v>7</v>
      </c>
      <c r="BU36" s="113" t="s">
        <v>638</v>
      </c>
      <c r="BV36" s="205">
        <v>1.1885897623923181</v>
      </c>
      <c r="BW36" s="205">
        <f t="shared" si="7"/>
        <v>1188.5897623923181</v>
      </c>
      <c r="BY36" s="306">
        <v>48</v>
      </c>
      <c r="BZ36" s="113" t="s">
        <v>155</v>
      </c>
      <c r="CA36" s="205">
        <v>2.446024568815437</v>
      </c>
      <c r="CC36" s="303">
        <v>14</v>
      </c>
      <c r="CD36" s="113" t="s">
        <v>456</v>
      </c>
      <c r="CE36" s="206">
        <v>6.4491187717564021E-3</v>
      </c>
      <c r="CF36" s="205">
        <f t="shared" si="8"/>
        <v>6.4491187717564022</v>
      </c>
      <c r="CH36" s="306">
        <v>48</v>
      </c>
      <c r="CI36" s="113" t="s">
        <v>155</v>
      </c>
      <c r="CJ36" s="205">
        <v>334.87087754711803</v>
      </c>
      <c r="CL36" s="303">
        <v>10</v>
      </c>
      <c r="CM36" s="113" t="s">
        <v>642</v>
      </c>
      <c r="CN36" s="206">
        <v>0.97482629443482749</v>
      </c>
      <c r="CO36" s="205">
        <f t="shared" si="9"/>
        <v>974.82629443482745</v>
      </c>
      <c r="CQ36" s="307">
        <v>58</v>
      </c>
      <c r="CR36" s="113" t="s">
        <v>326</v>
      </c>
      <c r="CS36" s="205">
        <v>13.9559202166615</v>
      </c>
      <c r="CU36" s="306">
        <v>49</v>
      </c>
      <c r="CV36" s="113" t="s">
        <v>48</v>
      </c>
      <c r="CW36" s="206">
        <v>3.44648326391001E-2</v>
      </c>
      <c r="CX36" s="205">
        <f t="shared" si="10"/>
        <v>34.464832639100102</v>
      </c>
      <c r="CZ36" s="302">
        <v>5</v>
      </c>
      <c r="DA36" s="113" t="s">
        <v>37</v>
      </c>
      <c r="DB36" s="205">
        <f>('nutrient content'!AA7/9)/calculations!C10</f>
        <v>3.2653992107155649</v>
      </c>
      <c r="DD36" s="304">
        <v>37</v>
      </c>
      <c r="DE36" s="113" t="s">
        <v>455</v>
      </c>
      <c r="DF36" s="206">
        <v>8.9531442608649717E-3</v>
      </c>
      <c r="DG36" s="205">
        <f t="shared" si="11"/>
        <v>8.9531442608649723</v>
      </c>
      <c r="DI36" s="306">
        <v>45</v>
      </c>
      <c r="DJ36" s="113" t="s">
        <v>448</v>
      </c>
      <c r="DK36" s="205">
        <v>13.585661269879965</v>
      </c>
      <c r="DM36" s="304">
        <v>26</v>
      </c>
      <c r="DN36" s="113" t="s">
        <v>329</v>
      </c>
      <c r="DO36" s="206">
        <v>2.392596125118103E-2</v>
      </c>
      <c r="DP36" s="205">
        <f t="shared" si="12"/>
        <v>23.925961251181029</v>
      </c>
    </row>
    <row r="37" spans="1:120" s="204" customFormat="1" x14ac:dyDescent="0.2">
      <c r="A37" s="306">
        <v>52</v>
      </c>
      <c r="B37" s="308" t="s">
        <v>422</v>
      </c>
      <c r="C37" s="309">
        <v>432.41175867668107</v>
      </c>
      <c r="E37" s="304">
        <v>32</v>
      </c>
      <c r="F37" s="113" t="s">
        <v>429</v>
      </c>
      <c r="G37" s="205">
        <v>75.424371884907885</v>
      </c>
      <c r="I37" s="304">
        <v>37</v>
      </c>
      <c r="J37" s="113" t="s">
        <v>455</v>
      </c>
      <c r="K37" s="205">
        <v>0.20182285080772694</v>
      </c>
      <c r="L37" s="205">
        <f t="shared" si="0"/>
        <v>201.82285080772695</v>
      </c>
      <c r="N37" s="303">
        <v>21</v>
      </c>
      <c r="O37" s="113" t="s">
        <v>580</v>
      </c>
      <c r="P37" s="205">
        <v>1.9148898487990553</v>
      </c>
      <c r="R37" s="303">
        <v>21</v>
      </c>
      <c r="S37" s="113" t="s">
        <v>580</v>
      </c>
      <c r="T37" s="205">
        <v>3.9984934796921702E-3</v>
      </c>
      <c r="U37" s="205">
        <f t="shared" si="1"/>
        <v>3.9984934796921703</v>
      </c>
      <c r="W37" s="304">
        <v>34</v>
      </c>
      <c r="X37" s="113" t="s">
        <v>604</v>
      </c>
      <c r="Y37" s="205">
        <v>56.859003616035743</v>
      </c>
      <c r="AA37" s="303">
        <v>10</v>
      </c>
      <c r="AB37" s="113" t="s">
        <v>642</v>
      </c>
      <c r="AC37" s="205">
        <v>0.12136398997139772</v>
      </c>
      <c r="AD37" s="205">
        <f t="shared" si="2"/>
        <v>121.36398997139771</v>
      </c>
      <c r="AF37" s="304">
        <v>31</v>
      </c>
      <c r="AG37" s="113" t="s">
        <v>315</v>
      </c>
      <c r="AH37" s="205">
        <v>57.146140017914192</v>
      </c>
      <c r="AJ37" s="304">
        <v>37</v>
      </c>
      <c r="AK37" s="113" t="s">
        <v>455</v>
      </c>
      <c r="AL37" s="205">
        <v>0.15464880756286348</v>
      </c>
      <c r="AM37" s="205">
        <f t="shared" si="3"/>
        <v>154.64880756286348</v>
      </c>
      <c r="AO37" s="303">
        <v>22</v>
      </c>
      <c r="AP37" s="113" t="s">
        <v>430</v>
      </c>
      <c r="AQ37" s="205">
        <v>1.8407509572464891</v>
      </c>
      <c r="AS37" s="303">
        <v>11</v>
      </c>
      <c r="AT37" s="113" t="s">
        <v>564</v>
      </c>
      <c r="AU37" s="205">
        <v>7.6422070950823116E-3</v>
      </c>
      <c r="AV37" s="205">
        <f t="shared" si="4"/>
        <v>7.6422070950823118</v>
      </c>
      <c r="AX37" s="303">
        <v>21</v>
      </c>
      <c r="AY37" s="113" t="s">
        <v>580</v>
      </c>
      <c r="AZ37" s="205">
        <v>0.38639397474325277</v>
      </c>
      <c r="BB37" s="303">
        <v>23</v>
      </c>
      <c r="BC37" s="113" t="s">
        <v>581</v>
      </c>
      <c r="BD37" s="206">
        <v>9.7168820386660509E-4</v>
      </c>
      <c r="BE37" s="205">
        <f t="shared" si="5"/>
        <v>0.97168820386660504</v>
      </c>
      <c r="BG37" s="304">
        <v>32</v>
      </c>
      <c r="BH37" s="113" t="s">
        <v>429</v>
      </c>
      <c r="BI37" s="205">
        <v>0.25344223866559429</v>
      </c>
      <c r="BK37" s="304">
        <v>26</v>
      </c>
      <c r="BL37" s="113" t="s">
        <v>329</v>
      </c>
      <c r="BM37" s="206">
        <v>3.9367804234057176E-4</v>
      </c>
      <c r="BN37" s="205">
        <f t="shared" si="6"/>
        <v>0.39367804234057174</v>
      </c>
      <c r="BP37" s="303">
        <v>6</v>
      </c>
      <c r="BQ37" s="113" t="s">
        <v>637</v>
      </c>
      <c r="BR37" s="205">
        <v>573.45173934259753</v>
      </c>
      <c r="BT37" s="303">
        <v>17</v>
      </c>
      <c r="BU37" s="113" t="s">
        <v>554</v>
      </c>
      <c r="BV37" s="205">
        <v>1.1266320650129951</v>
      </c>
      <c r="BW37" s="205">
        <f t="shared" si="7"/>
        <v>1126.6320650129951</v>
      </c>
      <c r="BY37" s="305">
        <v>40</v>
      </c>
      <c r="BZ37" s="113" t="s">
        <v>606</v>
      </c>
      <c r="CA37" s="205">
        <v>2.4393469286898455</v>
      </c>
      <c r="CC37" s="305">
        <v>40</v>
      </c>
      <c r="CD37" s="113" t="s">
        <v>606</v>
      </c>
      <c r="CE37" s="206">
        <v>6.2914161886992066E-3</v>
      </c>
      <c r="CF37" s="205">
        <f t="shared" si="8"/>
        <v>6.2914161886992064</v>
      </c>
      <c r="CH37" s="303">
        <v>16</v>
      </c>
      <c r="CI37" s="113" t="s">
        <v>553</v>
      </c>
      <c r="CJ37" s="205">
        <v>319.28678930825737</v>
      </c>
      <c r="CL37" s="306">
        <v>52</v>
      </c>
      <c r="CM37" s="113" t="s">
        <v>422</v>
      </c>
      <c r="CN37" s="206">
        <v>0.96245466774113586</v>
      </c>
      <c r="CO37" s="205">
        <f t="shared" si="9"/>
        <v>962.45466774113584</v>
      </c>
      <c r="CQ37" s="303">
        <v>17</v>
      </c>
      <c r="CR37" s="113" t="s">
        <v>554</v>
      </c>
      <c r="CS37" s="205">
        <v>13.400865751327588</v>
      </c>
      <c r="CU37" s="302">
        <v>2</v>
      </c>
      <c r="CV37" s="113" t="s">
        <v>316</v>
      </c>
      <c r="CW37" s="206">
        <v>2.9622513803741805E-2</v>
      </c>
      <c r="CX37" s="205">
        <f t="shared" si="10"/>
        <v>29.622513803741807</v>
      </c>
      <c r="CZ37" s="303">
        <v>17</v>
      </c>
      <c r="DA37" s="113" t="s">
        <v>554</v>
      </c>
      <c r="DB37" s="205">
        <f>('nutrient content'!AA19/9)/calculations!C22</f>
        <v>2.6040559841887325</v>
      </c>
      <c r="DD37" s="304">
        <v>35</v>
      </c>
      <c r="DE37" s="113" t="s">
        <v>563</v>
      </c>
      <c r="DF37" s="206">
        <v>8.9325821244122996E-3</v>
      </c>
      <c r="DG37" s="205">
        <f t="shared" si="11"/>
        <v>8.9325821244122992</v>
      </c>
      <c r="DI37" s="306">
        <v>42</v>
      </c>
      <c r="DJ37" s="113" t="s">
        <v>230</v>
      </c>
      <c r="DK37" s="205">
        <v>12.080844248132065</v>
      </c>
      <c r="DM37" s="306">
        <v>45</v>
      </c>
      <c r="DN37" s="113" t="s">
        <v>448</v>
      </c>
      <c r="DO37" s="206">
        <v>2.3607611549807412E-2</v>
      </c>
      <c r="DP37" s="205">
        <f t="shared" si="12"/>
        <v>23.607611549807412</v>
      </c>
    </row>
    <row r="38" spans="1:120" s="204" customFormat="1" x14ac:dyDescent="0.2">
      <c r="A38" s="303">
        <v>10</v>
      </c>
      <c r="B38" s="308" t="s">
        <v>642</v>
      </c>
      <c r="C38" s="309">
        <v>390.04331375597332</v>
      </c>
      <c r="E38" s="305">
        <v>39</v>
      </c>
      <c r="F38" s="113" t="s">
        <v>583</v>
      </c>
      <c r="G38" s="205">
        <v>70.866550601805713</v>
      </c>
      <c r="I38" s="307">
        <v>55</v>
      </c>
      <c r="J38" s="113" t="s">
        <v>50</v>
      </c>
      <c r="K38" s="205">
        <v>0.19530492311864228</v>
      </c>
      <c r="L38" s="205">
        <f t="shared" si="0"/>
        <v>195.30492311864228</v>
      </c>
      <c r="N38" s="305">
        <v>40</v>
      </c>
      <c r="O38" s="113" t="s">
        <v>606</v>
      </c>
      <c r="P38" s="205">
        <v>1.4154106292637694</v>
      </c>
      <c r="R38" s="303">
        <v>12</v>
      </c>
      <c r="S38" s="113" t="s">
        <v>454</v>
      </c>
      <c r="T38" s="205">
        <v>3.8735559208863553E-3</v>
      </c>
      <c r="U38" s="205">
        <f t="shared" si="1"/>
        <v>3.8735559208863553</v>
      </c>
      <c r="W38" s="306">
        <v>42</v>
      </c>
      <c r="X38" s="113" t="s">
        <v>230</v>
      </c>
      <c r="Y38" s="205">
        <v>56.572696537375968</v>
      </c>
      <c r="AA38" s="306">
        <v>45</v>
      </c>
      <c r="AB38" s="113" t="s">
        <v>448</v>
      </c>
      <c r="AC38" s="205">
        <v>0.11277625745803778</v>
      </c>
      <c r="AD38" s="205">
        <f t="shared" si="2"/>
        <v>112.77625745803778</v>
      </c>
      <c r="AF38" s="304">
        <v>26</v>
      </c>
      <c r="AG38" s="113" t="s">
        <v>329</v>
      </c>
      <c r="AH38" s="205">
        <v>56.314563357423417</v>
      </c>
      <c r="AJ38" s="303">
        <v>10</v>
      </c>
      <c r="AK38" s="113" t="s">
        <v>642</v>
      </c>
      <c r="AL38" s="205">
        <v>0.15028645652546113</v>
      </c>
      <c r="AM38" s="205">
        <f t="shared" si="3"/>
        <v>150.28645652546112</v>
      </c>
      <c r="AO38" s="303">
        <v>20</v>
      </c>
      <c r="AP38" s="113" t="s">
        <v>579</v>
      </c>
      <c r="AQ38" s="205">
        <v>1.7076565365466254</v>
      </c>
      <c r="AS38" s="304">
        <v>33</v>
      </c>
      <c r="AT38" s="113" t="s">
        <v>331</v>
      </c>
      <c r="AU38" s="205">
        <v>4.6104193297157982E-3</v>
      </c>
      <c r="AV38" s="205">
        <f t="shared" si="4"/>
        <v>4.610419329715798</v>
      </c>
      <c r="AX38" s="303">
        <v>9</v>
      </c>
      <c r="AY38" s="113" t="s">
        <v>640</v>
      </c>
      <c r="AZ38" s="205">
        <v>0.38114958574521279</v>
      </c>
      <c r="BB38" s="305">
        <v>40</v>
      </c>
      <c r="BC38" s="113" t="s">
        <v>606</v>
      </c>
      <c r="BD38" s="206">
        <v>9.5602044559063093E-4</v>
      </c>
      <c r="BE38" s="205">
        <f t="shared" si="5"/>
        <v>0.95602044559063093</v>
      </c>
      <c r="BG38" s="306">
        <v>52</v>
      </c>
      <c r="BH38" s="113" t="s">
        <v>422</v>
      </c>
      <c r="BI38" s="205">
        <v>0.21231434077748451</v>
      </c>
      <c r="BK38" s="304">
        <v>32</v>
      </c>
      <c r="BL38" s="113" t="s">
        <v>429</v>
      </c>
      <c r="BM38" s="206">
        <v>3.9087427261450767E-4</v>
      </c>
      <c r="BN38" s="205">
        <f t="shared" si="6"/>
        <v>0.39087427261450769</v>
      </c>
      <c r="BP38" s="303">
        <v>14</v>
      </c>
      <c r="BQ38" s="113" t="s">
        <v>456</v>
      </c>
      <c r="BR38" s="205">
        <v>566.59649561781714</v>
      </c>
      <c r="BT38" s="304">
        <v>37</v>
      </c>
      <c r="BU38" s="113" t="s">
        <v>455</v>
      </c>
      <c r="BV38" s="205">
        <v>1.1249139568243482</v>
      </c>
      <c r="BW38" s="205">
        <f t="shared" si="7"/>
        <v>1124.9139568243484</v>
      </c>
      <c r="BY38" s="306">
        <v>50</v>
      </c>
      <c r="BZ38" s="113" t="s">
        <v>423</v>
      </c>
      <c r="CA38" s="205">
        <v>2.3807368263427544</v>
      </c>
      <c r="CC38" s="304">
        <v>35</v>
      </c>
      <c r="CD38" s="113" t="s">
        <v>563</v>
      </c>
      <c r="CE38" s="206">
        <v>6.1443146978865174E-3</v>
      </c>
      <c r="CF38" s="205">
        <f t="shared" si="8"/>
        <v>6.1443146978865171</v>
      </c>
      <c r="CH38" s="306">
        <v>47</v>
      </c>
      <c r="CI38" s="113" t="s">
        <v>603</v>
      </c>
      <c r="CJ38" s="205">
        <v>295.75736714039601</v>
      </c>
      <c r="CL38" s="302">
        <v>2</v>
      </c>
      <c r="CM38" s="113" t="s">
        <v>316</v>
      </c>
      <c r="CN38" s="206">
        <v>0.90090685716169072</v>
      </c>
      <c r="CO38" s="205">
        <f t="shared" si="9"/>
        <v>900.90685716169071</v>
      </c>
      <c r="CQ38" s="306">
        <v>49</v>
      </c>
      <c r="CR38" s="113" t="s">
        <v>48</v>
      </c>
      <c r="CS38" s="205">
        <v>12.505429627793047</v>
      </c>
      <c r="CU38" s="304">
        <v>37</v>
      </c>
      <c r="CV38" s="113" t="s">
        <v>455</v>
      </c>
      <c r="CW38" s="206">
        <v>2.9436070954929332E-2</v>
      </c>
      <c r="CX38" s="205">
        <f t="shared" si="10"/>
        <v>29.436070954929331</v>
      </c>
      <c r="CZ38" s="306">
        <v>49</v>
      </c>
      <c r="DA38" s="113" t="s">
        <v>48</v>
      </c>
      <c r="DB38" s="205">
        <f>('nutrient content'!AA51/9)/calculations!C54</f>
        <v>2.0797285581934193</v>
      </c>
      <c r="DD38" s="307">
        <v>58</v>
      </c>
      <c r="DE38" s="113" t="s">
        <v>326</v>
      </c>
      <c r="DF38" s="206">
        <v>8.8844431805321922E-3</v>
      </c>
      <c r="DG38" s="205">
        <f t="shared" si="11"/>
        <v>8.8844431805321928</v>
      </c>
      <c r="DI38" s="306">
        <v>49</v>
      </c>
      <c r="DJ38" s="113" t="s">
        <v>48</v>
      </c>
      <c r="DK38" s="205">
        <v>11.979549077300263</v>
      </c>
      <c r="DM38" s="306">
        <v>48</v>
      </c>
      <c r="DN38" s="113" t="s">
        <v>155</v>
      </c>
      <c r="DO38" s="206">
        <v>2.1213427430705603E-2</v>
      </c>
      <c r="DP38" s="205">
        <f t="shared" si="12"/>
        <v>21.213427430705604</v>
      </c>
    </row>
    <row r="39" spans="1:120" s="204" customFormat="1" x14ac:dyDescent="0.2">
      <c r="A39" s="303">
        <v>8</v>
      </c>
      <c r="B39" s="308" t="s">
        <v>639</v>
      </c>
      <c r="C39" s="309">
        <v>388.72638999110819</v>
      </c>
      <c r="E39" s="305">
        <v>40</v>
      </c>
      <c r="F39" s="113" t="s">
        <v>606</v>
      </c>
      <c r="G39" s="205">
        <v>70.080303497425462</v>
      </c>
      <c r="I39" s="303">
        <v>22</v>
      </c>
      <c r="J39" s="113" t="s">
        <v>430</v>
      </c>
      <c r="K39" s="205">
        <v>0.18843226456499607</v>
      </c>
      <c r="L39" s="205">
        <f t="shared" si="0"/>
        <v>188.43226456499607</v>
      </c>
      <c r="N39" s="303">
        <v>12</v>
      </c>
      <c r="O39" s="113" t="s">
        <v>454</v>
      </c>
      <c r="P39" s="205">
        <v>1.1682253693763851</v>
      </c>
      <c r="R39" s="307">
        <v>54</v>
      </c>
      <c r="S39" s="113" t="s">
        <v>49</v>
      </c>
      <c r="T39" s="205">
        <v>3.687069733493786E-3</v>
      </c>
      <c r="U39" s="205">
        <f t="shared" si="1"/>
        <v>3.6870697334937859</v>
      </c>
      <c r="W39" s="302">
        <v>1</v>
      </c>
      <c r="X39" s="113" t="s">
        <v>577</v>
      </c>
      <c r="Y39" s="205">
        <v>54.460125211182408</v>
      </c>
      <c r="AA39" s="302">
        <v>2</v>
      </c>
      <c r="AB39" s="113" t="s">
        <v>316</v>
      </c>
      <c r="AC39" s="205">
        <v>0.10888189430208157</v>
      </c>
      <c r="AD39" s="205">
        <f t="shared" si="2"/>
        <v>108.88189430208158</v>
      </c>
      <c r="AF39" s="303">
        <v>15</v>
      </c>
      <c r="AG39" s="113" t="s">
        <v>458</v>
      </c>
      <c r="AH39" s="205">
        <v>55.481052005689676</v>
      </c>
      <c r="AJ39" s="303">
        <v>15</v>
      </c>
      <c r="AK39" s="113" t="s">
        <v>458</v>
      </c>
      <c r="AL39" s="205">
        <v>0.1266613870082865</v>
      </c>
      <c r="AM39" s="205">
        <f t="shared" si="3"/>
        <v>126.6613870082865</v>
      </c>
      <c r="AO39" s="303">
        <v>18</v>
      </c>
      <c r="AP39" s="113" t="s">
        <v>578</v>
      </c>
      <c r="AQ39" s="205">
        <v>1.473824736192815</v>
      </c>
      <c r="AS39" s="302">
        <v>2</v>
      </c>
      <c r="AT39" s="113" t="s">
        <v>316</v>
      </c>
      <c r="AU39" s="205">
        <v>3.9567681330080762E-3</v>
      </c>
      <c r="AV39" s="205">
        <f t="shared" si="4"/>
        <v>3.9567681330080759</v>
      </c>
      <c r="AX39" s="305">
        <v>40</v>
      </c>
      <c r="AY39" s="113" t="s">
        <v>606</v>
      </c>
      <c r="AZ39" s="205">
        <v>0.37067418014804288</v>
      </c>
      <c r="BB39" s="304">
        <v>25</v>
      </c>
      <c r="BC39" s="113" t="s">
        <v>602</v>
      </c>
      <c r="BD39" s="206">
        <v>8.5978080621918168E-4</v>
      </c>
      <c r="BE39" s="205">
        <f t="shared" si="5"/>
        <v>0.85978080621918163</v>
      </c>
      <c r="BG39" s="303">
        <v>22</v>
      </c>
      <c r="BH39" s="113" t="s">
        <v>430</v>
      </c>
      <c r="BI39" s="205">
        <v>0.190626887998113</v>
      </c>
      <c r="BK39" s="306">
        <v>51</v>
      </c>
      <c r="BL39" s="113" t="s">
        <v>330</v>
      </c>
      <c r="BM39" s="206">
        <v>3.4292767592496306E-4</v>
      </c>
      <c r="BN39" s="205">
        <f t="shared" si="6"/>
        <v>0.34292767592496304</v>
      </c>
      <c r="BP39" s="304">
        <v>36</v>
      </c>
      <c r="BQ39" s="113" t="s">
        <v>582</v>
      </c>
      <c r="BR39" s="205">
        <v>558.12577721659125</v>
      </c>
      <c r="BT39" s="303">
        <v>24</v>
      </c>
      <c r="BU39" s="113" t="s">
        <v>15</v>
      </c>
      <c r="BV39" s="205">
        <v>1.1151353006389733</v>
      </c>
      <c r="BW39" s="205">
        <f t="shared" si="7"/>
        <v>1115.1353006389731</v>
      </c>
      <c r="BY39" s="303">
        <v>15</v>
      </c>
      <c r="BZ39" s="113" t="s">
        <v>458</v>
      </c>
      <c r="CA39" s="205">
        <v>2.312369641676761</v>
      </c>
      <c r="CC39" s="306">
        <v>52</v>
      </c>
      <c r="CD39" s="113" t="s">
        <v>422</v>
      </c>
      <c r="CE39" s="206">
        <v>6.1237621831851559E-3</v>
      </c>
      <c r="CF39" s="205">
        <f t="shared" si="8"/>
        <v>6.1237621831851561</v>
      </c>
      <c r="CH39" s="302">
        <v>4</v>
      </c>
      <c r="CI39" s="113" t="s">
        <v>36</v>
      </c>
      <c r="CJ39" s="205">
        <v>284.60061295725603</v>
      </c>
      <c r="CL39" s="306">
        <v>45</v>
      </c>
      <c r="CM39" s="113" t="s">
        <v>448</v>
      </c>
      <c r="CN39" s="206">
        <v>0.79711014615575315</v>
      </c>
      <c r="CO39" s="205">
        <f t="shared" si="9"/>
        <v>797.11014615575311</v>
      </c>
      <c r="CQ39" s="307">
        <v>55</v>
      </c>
      <c r="CR39" s="113" t="s">
        <v>50</v>
      </c>
      <c r="CS39" s="205">
        <v>11.392846692325742</v>
      </c>
      <c r="CU39" s="303">
        <v>13</v>
      </c>
      <c r="CV39" s="113" t="s">
        <v>565</v>
      </c>
      <c r="CW39" s="206">
        <v>2.5810761230498504E-2</v>
      </c>
      <c r="CX39" s="205">
        <f t="shared" si="10"/>
        <v>25.810761230498503</v>
      </c>
      <c r="CZ39" s="303">
        <v>9</v>
      </c>
      <c r="DA39" s="113" t="s">
        <v>640</v>
      </c>
      <c r="DB39" s="205">
        <f>('nutrient content'!AA11/9)/calculations!C14</f>
        <v>2.0807686105625725</v>
      </c>
      <c r="DD39" s="306">
        <v>49</v>
      </c>
      <c r="DE39" s="113" t="s">
        <v>48</v>
      </c>
      <c r="DF39" s="206">
        <v>8.4363066138376276E-3</v>
      </c>
      <c r="DG39" s="205">
        <f t="shared" si="11"/>
        <v>8.4363066138376279</v>
      </c>
      <c r="DI39" s="304">
        <v>34</v>
      </c>
      <c r="DJ39" s="113" t="s">
        <v>604</v>
      </c>
      <c r="DK39" s="205">
        <v>11.85251635010464</v>
      </c>
      <c r="DM39" s="306">
        <v>51</v>
      </c>
      <c r="DN39" s="113" t="s">
        <v>330</v>
      </c>
      <c r="DO39" s="206">
        <v>2.0908695666162991E-2</v>
      </c>
      <c r="DP39" s="205">
        <f t="shared" si="12"/>
        <v>20.908695666162991</v>
      </c>
    </row>
    <row r="40" spans="1:120" s="204" customFormat="1" x14ac:dyDescent="0.2">
      <c r="A40" s="305">
        <v>40</v>
      </c>
      <c r="B40" s="308" t="s">
        <v>606</v>
      </c>
      <c r="C40" s="309">
        <v>387.72620591711279</v>
      </c>
      <c r="E40" s="307">
        <v>58</v>
      </c>
      <c r="F40" s="113" t="s">
        <v>326</v>
      </c>
      <c r="G40" s="205">
        <v>69.295925236418654</v>
      </c>
      <c r="I40" s="305">
        <v>40</v>
      </c>
      <c r="J40" s="113" t="s">
        <v>606</v>
      </c>
      <c r="K40" s="205">
        <v>0.18074688382659146</v>
      </c>
      <c r="L40" s="205">
        <f t="shared" si="0"/>
        <v>180.74688382659147</v>
      </c>
      <c r="N40" s="305">
        <v>38</v>
      </c>
      <c r="O40" s="113" t="s">
        <v>605</v>
      </c>
      <c r="P40" s="205">
        <v>0.90445722918169646</v>
      </c>
      <c r="R40" s="305">
        <v>40</v>
      </c>
      <c r="S40" s="113" t="s">
        <v>606</v>
      </c>
      <c r="T40" s="205">
        <v>3.6505415617079872E-3</v>
      </c>
      <c r="U40" s="205">
        <f t="shared" si="1"/>
        <v>3.6505415617079873</v>
      </c>
      <c r="W40" s="306">
        <v>51</v>
      </c>
      <c r="X40" s="113" t="s">
        <v>330</v>
      </c>
      <c r="Y40" s="205">
        <v>53.998044454204376</v>
      </c>
      <c r="AA40" s="306">
        <v>43</v>
      </c>
      <c r="AB40" s="113" t="s">
        <v>332</v>
      </c>
      <c r="AC40" s="205">
        <v>0.1066224049056585</v>
      </c>
      <c r="AD40" s="205">
        <f t="shared" si="2"/>
        <v>106.6224049056585</v>
      </c>
      <c r="AF40" s="303">
        <v>23</v>
      </c>
      <c r="AG40" s="113" t="s">
        <v>581</v>
      </c>
      <c r="AH40" s="205">
        <v>50.440412283513268</v>
      </c>
      <c r="AJ40" s="303">
        <v>18</v>
      </c>
      <c r="AK40" s="113" t="s">
        <v>578</v>
      </c>
      <c r="AL40" s="205">
        <v>0.12614507421667917</v>
      </c>
      <c r="AM40" s="205">
        <f t="shared" si="3"/>
        <v>126.14507421667918</v>
      </c>
      <c r="AO40" s="303">
        <v>11</v>
      </c>
      <c r="AP40" s="113" t="s">
        <v>564</v>
      </c>
      <c r="AQ40" s="205">
        <v>1.4537275074235956</v>
      </c>
      <c r="AS40" s="303">
        <v>10</v>
      </c>
      <c r="AT40" s="113" t="s">
        <v>642</v>
      </c>
      <c r="AU40" s="205">
        <v>3.1727201277821889E-3</v>
      </c>
      <c r="AV40" s="205">
        <f t="shared" si="4"/>
        <v>3.1727201277821888</v>
      </c>
      <c r="AX40" s="306">
        <v>50</v>
      </c>
      <c r="AY40" s="113" t="s">
        <v>423</v>
      </c>
      <c r="AZ40" s="205">
        <v>0.36124723432528305</v>
      </c>
      <c r="BB40" s="302">
        <v>2</v>
      </c>
      <c r="BC40" s="113" t="s">
        <v>316</v>
      </c>
      <c r="BD40" s="206">
        <v>8.3890349026739526E-4</v>
      </c>
      <c r="BE40" s="205">
        <f t="shared" si="5"/>
        <v>0.8389034902673953</v>
      </c>
      <c r="BG40" s="307">
        <v>58</v>
      </c>
      <c r="BH40" s="113" t="s">
        <v>326</v>
      </c>
      <c r="BI40" s="205">
        <v>0.16692020151207057</v>
      </c>
      <c r="BK40" s="307">
        <v>54</v>
      </c>
      <c r="BL40" s="113" t="s">
        <v>49</v>
      </c>
      <c r="BM40" s="206">
        <v>3.3993132135496707E-4</v>
      </c>
      <c r="BN40" s="205">
        <f t="shared" si="6"/>
        <v>0.33993132135496706</v>
      </c>
      <c r="BP40" s="304">
        <v>31</v>
      </c>
      <c r="BQ40" s="113" t="s">
        <v>315</v>
      </c>
      <c r="BR40" s="205">
        <v>521.69512046061675</v>
      </c>
      <c r="BT40" s="304">
        <v>25</v>
      </c>
      <c r="BU40" s="113" t="s">
        <v>602</v>
      </c>
      <c r="BV40" s="205">
        <v>1.0655422380940709</v>
      </c>
      <c r="BW40" s="205">
        <f t="shared" si="7"/>
        <v>1065.5422380940709</v>
      </c>
      <c r="BY40" s="306">
        <v>46</v>
      </c>
      <c r="BZ40" s="113" t="s">
        <v>535</v>
      </c>
      <c r="CA40" s="205">
        <v>2.2745874715974312</v>
      </c>
      <c r="CC40" s="306">
        <v>45</v>
      </c>
      <c r="CD40" s="113" t="s">
        <v>448</v>
      </c>
      <c r="CE40" s="206">
        <v>6.0888421263524777E-3</v>
      </c>
      <c r="CF40" s="205">
        <f t="shared" si="8"/>
        <v>6.0888421263524775</v>
      </c>
      <c r="CH40" s="303">
        <v>17</v>
      </c>
      <c r="CI40" s="113" t="s">
        <v>554</v>
      </c>
      <c r="CJ40" s="205">
        <v>271.64769634137707</v>
      </c>
      <c r="CL40" s="304">
        <v>33</v>
      </c>
      <c r="CM40" s="113" t="s">
        <v>331</v>
      </c>
      <c r="CN40" s="206">
        <v>0.77825995977373685</v>
      </c>
      <c r="CO40" s="205">
        <f t="shared" si="9"/>
        <v>778.25995977373691</v>
      </c>
      <c r="CQ40" s="306">
        <v>48</v>
      </c>
      <c r="CR40" s="113" t="s">
        <v>155</v>
      </c>
      <c r="CS40" s="205">
        <v>11.25853599796989</v>
      </c>
      <c r="CU40" s="306">
        <v>43</v>
      </c>
      <c r="CV40" s="113" t="s">
        <v>332</v>
      </c>
      <c r="CW40" s="206">
        <v>2.5763374212536345E-2</v>
      </c>
      <c r="CX40" s="205">
        <f t="shared" si="10"/>
        <v>25.763374212536345</v>
      </c>
      <c r="CZ40" s="306">
        <v>48</v>
      </c>
      <c r="DA40" s="113" t="s">
        <v>155</v>
      </c>
      <c r="DB40" s="205">
        <f>('nutrient content'!AA50/9)/calculations!C53</f>
        <v>2.5127143645016012</v>
      </c>
      <c r="DD40" s="303">
        <v>12</v>
      </c>
      <c r="DE40" s="113" t="s">
        <v>454</v>
      </c>
      <c r="DF40" s="206">
        <v>7.8083696508090116E-3</v>
      </c>
      <c r="DG40" s="205">
        <f t="shared" si="11"/>
        <v>7.8083696508090119</v>
      </c>
      <c r="DI40" s="303">
        <v>22</v>
      </c>
      <c r="DJ40" s="113" t="s">
        <v>430</v>
      </c>
      <c r="DK40" s="205">
        <v>8.8367623452511168</v>
      </c>
      <c r="DM40" s="303">
        <v>23</v>
      </c>
      <c r="DN40" s="113" t="s">
        <v>581</v>
      </c>
      <c r="DO40" s="206">
        <v>2.0586963232582516E-2</v>
      </c>
      <c r="DP40" s="205">
        <f t="shared" si="12"/>
        <v>20.586963232582516</v>
      </c>
    </row>
    <row r="41" spans="1:120" s="204" customFormat="1" x14ac:dyDescent="0.2">
      <c r="A41" s="306">
        <v>49</v>
      </c>
      <c r="B41" s="308" t="s">
        <v>48</v>
      </c>
      <c r="C41" s="309">
        <v>362.84608600146601</v>
      </c>
      <c r="E41" s="307">
        <v>56</v>
      </c>
      <c r="F41" s="113" t="s">
        <v>51</v>
      </c>
      <c r="G41" s="205">
        <v>66.177212007793372</v>
      </c>
      <c r="I41" s="304">
        <v>33</v>
      </c>
      <c r="J41" s="113" t="s">
        <v>331</v>
      </c>
      <c r="K41" s="205">
        <v>0.14956097380209105</v>
      </c>
      <c r="L41" s="205">
        <f t="shared" si="0"/>
        <v>149.56097380209104</v>
      </c>
      <c r="N41" s="303">
        <v>10</v>
      </c>
      <c r="O41" s="113" t="s">
        <v>642</v>
      </c>
      <c r="P41" s="205">
        <v>0.88929587485916006</v>
      </c>
      <c r="R41" s="307">
        <v>58</v>
      </c>
      <c r="S41" s="113" t="s">
        <v>326</v>
      </c>
      <c r="T41" s="205">
        <v>2.9669393732164552E-3</v>
      </c>
      <c r="U41" s="205">
        <f t="shared" si="1"/>
        <v>2.9669393732164551</v>
      </c>
      <c r="W41" s="303">
        <v>10</v>
      </c>
      <c r="X41" s="113" t="s">
        <v>642</v>
      </c>
      <c r="Y41" s="205">
        <v>47.337212819090681</v>
      </c>
      <c r="AA41" s="303">
        <v>11</v>
      </c>
      <c r="AB41" s="113" t="s">
        <v>564</v>
      </c>
      <c r="AC41" s="205">
        <v>0.10123426747067003</v>
      </c>
      <c r="AD41" s="205">
        <f t="shared" si="2"/>
        <v>101.23426747067003</v>
      </c>
      <c r="AF41" s="304">
        <v>34</v>
      </c>
      <c r="AG41" s="113" t="s">
        <v>604</v>
      </c>
      <c r="AH41" s="205">
        <v>43.543080134877322</v>
      </c>
      <c r="AJ41" s="303">
        <v>21</v>
      </c>
      <c r="AK41" s="113" t="s">
        <v>580</v>
      </c>
      <c r="AL41" s="205">
        <v>0.12307340970743848</v>
      </c>
      <c r="AM41" s="205">
        <f t="shared" si="3"/>
        <v>123.07340970743847</v>
      </c>
      <c r="AO41" s="303">
        <v>24</v>
      </c>
      <c r="AP41" s="113" t="s">
        <v>15</v>
      </c>
      <c r="AQ41" s="205">
        <v>1.254121429541911</v>
      </c>
      <c r="AS41" s="303">
        <v>18</v>
      </c>
      <c r="AT41" s="113" t="s">
        <v>578</v>
      </c>
      <c r="AU41" s="205">
        <v>2.0742862773951831E-3</v>
      </c>
      <c r="AV41" s="205">
        <f t="shared" si="4"/>
        <v>2.0742862773951831</v>
      </c>
      <c r="AX41" s="304">
        <v>35</v>
      </c>
      <c r="AY41" s="113" t="s">
        <v>563</v>
      </c>
      <c r="AZ41" s="205">
        <v>0.35891076611084083</v>
      </c>
      <c r="BB41" s="303">
        <v>21</v>
      </c>
      <c r="BC41" s="113" t="s">
        <v>580</v>
      </c>
      <c r="BD41" s="206">
        <v>8.0683167732713051E-4</v>
      </c>
      <c r="BE41" s="205">
        <f t="shared" si="5"/>
        <v>0.80683167732713046</v>
      </c>
      <c r="BG41" s="306">
        <v>50</v>
      </c>
      <c r="BH41" s="113" t="s">
        <v>423</v>
      </c>
      <c r="BI41" s="205">
        <v>0.14248372879636731</v>
      </c>
      <c r="BK41" s="306">
        <v>48</v>
      </c>
      <c r="BL41" s="113" t="s">
        <v>155</v>
      </c>
      <c r="BM41" s="206">
        <v>3.095144075263268E-4</v>
      </c>
      <c r="BN41" s="205">
        <f t="shared" si="6"/>
        <v>0.30951440752632681</v>
      </c>
      <c r="BP41" s="303">
        <v>10</v>
      </c>
      <c r="BQ41" s="113" t="s">
        <v>642</v>
      </c>
      <c r="BR41" s="205">
        <v>515.61330399506414</v>
      </c>
      <c r="BT41" s="304">
        <v>28</v>
      </c>
      <c r="BU41" s="113" t="s">
        <v>63</v>
      </c>
      <c r="BV41" s="205">
        <v>1.0530182402872328</v>
      </c>
      <c r="BW41" s="205">
        <f t="shared" si="7"/>
        <v>1053.0182402872329</v>
      </c>
      <c r="BY41" s="303">
        <v>7</v>
      </c>
      <c r="BZ41" s="113" t="s">
        <v>638</v>
      </c>
      <c r="CA41" s="205">
        <v>2.224809829648748</v>
      </c>
      <c r="CC41" s="307">
        <v>57</v>
      </c>
      <c r="CD41" s="113" t="s">
        <v>641</v>
      </c>
      <c r="CE41" s="206">
        <v>6.0069107751067156E-3</v>
      </c>
      <c r="CF41" s="205">
        <f t="shared" si="8"/>
        <v>6.0069107751067152</v>
      </c>
      <c r="CH41" s="306">
        <v>51</v>
      </c>
      <c r="CI41" s="113" t="s">
        <v>330</v>
      </c>
      <c r="CJ41" s="205">
        <v>267.68251858777285</v>
      </c>
      <c r="CL41" s="306">
        <v>43</v>
      </c>
      <c r="CM41" s="113" t="s">
        <v>332</v>
      </c>
      <c r="CN41" s="206">
        <v>0.74767155312375533</v>
      </c>
      <c r="CO41" s="205">
        <f t="shared" si="9"/>
        <v>747.6715531237553</v>
      </c>
      <c r="CQ41" s="304">
        <v>29</v>
      </c>
      <c r="CR41" s="113" t="s">
        <v>615</v>
      </c>
      <c r="CS41" s="205">
        <v>11.167914127095969</v>
      </c>
      <c r="CU41" s="303">
        <v>12</v>
      </c>
      <c r="CV41" s="113" t="s">
        <v>454</v>
      </c>
      <c r="CW41" s="206">
        <v>2.5400018385979828E-2</v>
      </c>
      <c r="CX41" s="205">
        <f t="shared" si="10"/>
        <v>25.400018385979827</v>
      </c>
      <c r="CZ41" s="304">
        <v>30</v>
      </c>
      <c r="DA41" s="113" t="s">
        <v>322</v>
      </c>
      <c r="DB41" s="205">
        <f>('nutrient content'!AA32/9)/calculations!C35</f>
        <v>1.9958549093442937</v>
      </c>
      <c r="DD41" s="303">
        <v>23</v>
      </c>
      <c r="DE41" s="113" t="s">
        <v>581</v>
      </c>
      <c r="DF41" s="206">
        <v>7.6419747733666634E-3</v>
      </c>
      <c r="DG41" s="205">
        <f t="shared" si="11"/>
        <v>7.6419747733666634</v>
      </c>
      <c r="DI41" s="306">
        <v>50</v>
      </c>
      <c r="DJ41" s="113" t="s">
        <v>423</v>
      </c>
      <c r="DK41" s="205">
        <v>6.5530530449798263</v>
      </c>
      <c r="DM41" s="304">
        <v>31</v>
      </c>
      <c r="DN41" s="113" t="s">
        <v>315</v>
      </c>
      <c r="DO41" s="206">
        <v>1.8617215565623499E-2</v>
      </c>
      <c r="DP41" s="205">
        <f t="shared" si="12"/>
        <v>18.6172155656235</v>
      </c>
    </row>
    <row r="42" spans="1:120" s="204" customFormat="1" x14ac:dyDescent="0.2">
      <c r="A42" s="305">
        <v>41</v>
      </c>
      <c r="B42" s="308" t="s">
        <v>584</v>
      </c>
      <c r="C42" s="309">
        <v>332.56937217352043</v>
      </c>
      <c r="E42" s="306">
        <v>42</v>
      </c>
      <c r="F42" s="113" t="s">
        <v>230</v>
      </c>
      <c r="G42" s="205">
        <v>64.439180171062475</v>
      </c>
      <c r="I42" s="303">
        <v>19</v>
      </c>
      <c r="J42" s="113" t="s">
        <v>555</v>
      </c>
      <c r="K42" s="205">
        <v>0.12776122575241383</v>
      </c>
      <c r="L42" s="205">
        <f t="shared" si="0"/>
        <v>127.76122575241384</v>
      </c>
      <c r="N42" s="303">
        <v>18</v>
      </c>
      <c r="O42" s="113" t="s">
        <v>578</v>
      </c>
      <c r="P42" s="205">
        <v>0.69739148797008077</v>
      </c>
      <c r="R42" s="303">
        <v>10</v>
      </c>
      <c r="S42" s="113" t="s">
        <v>642</v>
      </c>
      <c r="T42" s="205">
        <v>2.2799926149113252E-3</v>
      </c>
      <c r="U42" s="205">
        <f t="shared" si="1"/>
        <v>2.279992614911325</v>
      </c>
      <c r="W42" s="305">
        <v>41</v>
      </c>
      <c r="X42" s="113" t="s">
        <v>584</v>
      </c>
      <c r="Y42" s="205">
        <v>46.675010656585769</v>
      </c>
      <c r="AA42" s="303">
        <v>12</v>
      </c>
      <c r="AB42" s="113" t="s">
        <v>454</v>
      </c>
      <c r="AC42" s="205">
        <v>9.9222958097965802E-2</v>
      </c>
      <c r="AD42" s="205">
        <f t="shared" si="2"/>
        <v>99.222958097965801</v>
      </c>
      <c r="AF42" s="303">
        <v>11</v>
      </c>
      <c r="AG42" s="113" t="s">
        <v>564</v>
      </c>
      <c r="AH42" s="205">
        <v>40.922098648287026</v>
      </c>
      <c r="AJ42" s="305">
        <v>41</v>
      </c>
      <c r="AK42" s="113" t="s">
        <v>584</v>
      </c>
      <c r="AL42" s="205">
        <v>9.0006849928142216E-2</v>
      </c>
      <c r="AM42" s="205">
        <f t="shared" si="3"/>
        <v>90.006849928142216</v>
      </c>
      <c r="AO42" s="303">
        <v>10</v>
      </c>
      <c r="AP42" s="113" t="s">
        <v>642</v>
      </c>
      <c r="AQ42" s="205">
        <v>1.23749827226044</v>
      </c>
      <c r="AS42" s="303">
        <v>20</v>
      </c>
      <c r="AT42" s="113" t="s">
        <v>579</v>
      </c>
      <c r="AU42" s="205">
        <v>2.0171191265486118E-3</v>
      </c>
      <c r="AV42" s="205">
        <f t="shared" si="4"/>
        <v>2.0171191265486117</v>
      </c>
      <c r="AX42" s="303">
        <v>7</v>
      </c>
      <c r="AY42" s="113" t="s">
        <v>638</v>
      </c>
      <c r="AZ42" s="205">
        <v>0.3491994237800215</v>
      </c>
      <c r="BB42" s="303">
        <v>20</v>
      </c>
      <c r="BC42" s="113" t="s">
        <v>579</v>
      </c>
      <c r="BD42" s="206">
        <v>7.3115644270150637E-4</v>
      </c>
      <c r="BE42" s="205">
        <f t="shared" si="5"/>
        <v>0.73115644270150637</v>
      </c>
      <c r="BG42" s="304">
        <v>35</v>
      </c>
      <c r="BH42" s="113" t="s">
        <v>563</v>
      </c>
      <c r="BI42" s="205">
        <v>0.1406996372805637</v>
      </c>
      <c r="BK42" s="306">
        <v>44</v>
      </c>
      <c r="BL42" s="113" t="s">
        <v>176</v>
      </c>
      <c r="BM42" s="206">
        <v>2.6027566329116128E-4</v>
      </c>
      <c r="BN42" s="205">
        <f t="shared" si="6"/>
        <v>0.26027566329116125</v>
      </c>
      <c r="BP42" s="303">
        <v>18</v>
      </c>
      <c r="BQ42" s="113" t="s">
        <v>578</v>
      </c>
      <c r="BR42" s="205">
        <v>475.19275778344536</v>
      </c>
      <c r="BT42" s="303">
        <v>6</v>
      </c>
      <c r="BU42" s="113" t="s">
        <v>637</v>
      </c>
      <c r="BV42" s="205">
        <v>1.0377611527944135</v>
      </c>
      <c r="BW42" s="205">
        <f t="shared" si="7"/>
        <v>1037.7611527944134</v>
      </c>
      <c r="BY42" s="306">
        <v>47</v>
      </c>
      <c r="BZ42" s="113" t="s">
        <v>603</v>
      </c>
      <c r="CA42" s="205">
        <v>2.0937256498391608</v>
      </c>
      <c r="CC42" s="303">
        <v>24</v>
      </c>
      <c r="CD42" s="113" t="s">
        <v>15</v>
      </c>
      <c r="CE42" s="206">
        <v>5.7536591774814422E-3</v>
      </c>
      <c r="CF42" s="205">
        <f t="shared" si="8"/>
        <v>5.7536591774814418</v>
      </c>
      <c r="CH42" s="302">
        <v>5</v>
      </c>
      <c r="CI42" s="113" t="s">
        <v>37</v>
      </c>
      <c r="CJ42" s="205">
        <v>256.54174977658425</v>
      </c>
      <c r="CL42" s="303">
        <v>16</v>
      </c>
      <c r="CM42" s="113" t="s">
        <v>553</v>
      </c>
      <c r="CN42" s="206">
        <v>0.73187540011584595</v>
      </c>
      <c r="CO42" s="205">
        <f t="shared" si="9"/>
        <v>731.87540011584599</v>
      </c>
      <c r="CQ42" s="303">
        <v>11</v>
      </c>
      <c r="CR42" s="113" t="s">
        <v>564</v>
      </c>
      <c r="CS42" s="205">
        <v>9.8777602649239302</v>
      </c>
      <c r="CU42" s="306">
        <v>50</v>
      </c>
      <c r="CV42" s="113" t="s">
        <v>423</v>
      </c>
      <c r="CW42" s="206">
        <v>1.9868547632205146E-2</v>
      </c>
      <c r="CX42" s="205">
        <f t="shared" si="10"/>
        <v>19.868547632205146</v>
      </c>
      <c r="CZ42" s="304">
        <v>29</v>
      </c>
      <c r="DA42" s="113" t="s">
        <v>615</v>
      </c>
      <c r="DB42" s="205">
        <f>('nutrient content'!AA31/9)/calculations!C34</f>
        <v>2.6920939231193208</v>
      </c>
      <c r="DD42" s="306">
        <v>50</v>
      </c>
      <c r="DE42" s="113" t="s">
        <v>423</v>
      </c>
      <c r="DF42" s="206">
        <v>5.69872380845627E-3</v>
      </c>
      <c r="DG42" s="205">
        <f t="shared" si="11"/>
        <v>5.6987238084562701</v>
      </c>
      <c r="DI42" s="306">
        <v>48</v>
      </c>
      <c r="DJ42" s="113" t="s">
        <v>155</v>
      </c>
      <c r="DK42" s="205">
        <v>5.5083724801870382</v>
      </c>
      <c r="DM42" s="304">
        <v>25</v>
      </c>
      <c r="DN42" s="113" t="s">
        <v>602</v>
      </c>
      <c r="DO42" s="206">
        <v>1.6716621851953266E-2</v>
      </c>
      <c r="DP42" s="205">
        <f t="shared" si="12"/>
        <v>16.716621851953267</v>
      </c>
    </row>
    <row r="43" spans="1:120" s="204" customFormat="1" x14ac:dyDescent="0.2">
      <c r="A43" s="303">
        <v>7</v>
      </c>
      <c r="B43" s="308" t="s">
        <v>638</v>
      </c>
      <c r="C43" s="309">
        <v>329.76698623812268</v>
      </c>
      <c r="E43" s="307">
        <v>57</v>
      </c>
      <c r="F43" s="113" t="s">
        <v>641</v>
      </c>
      <c r="G43" s="205">
        <v>60.079453349809668</v>
      </c>
      <c r="I43" s="303">
        <v>24</v>
      </c>
      <c r="J43" s="113" t="s">
        <v>15</v>
      </c>
      <c r="K43" s="205">
        <v>0.12226724797616426</v>
      </c>
      <c r="L43" s="205">
        <f t="shared" si="0"/>
        <v>122.26724797616426</v>
      </c>
      <c r="N43" s="303">
        <v>14</v>
      </c>
      <c r="O43" s="113" t="s">
        <v>456</v>
      </c>
      <c r="P43" s="205">
        <v>0.6505889244772376</v>
      </c>
      <c r="R43" s="303">
        <v>11</v>
      </c>
      <c r="S43" s="113" t="s">
        <v>564</v>
      </c>
      <c r="T43" s="205">
        <v>1.4916766073599349E-3</v>
      </c>
      <c r="U43" s="205">
        <f t="shared" si="1"/>
        <v>1.4916766073599348</v>
      </c>
      <c r="W43" s="302">
        <v>4</v>
      </c>
      <c r="X43" s="113" t="s">
        <v>36</v>
      </c>
      <c r="Y43" s="205">
        <v>39.543949487945383</v>
      </c>
      <c r="AA43" s="305">
        <v>40</v>
      </c>
      <c r="AB43" s="113" t="s">
        <v>606</v>
      </c>
      <c r="AC43" s="205">
        <v>8.6662560903050578E-2</v>
      </c>
      <c r="AD43" s="205">
        <f t="shared" si="2"/>
        <v>86.662560903050576</v>
      </c>
      <c r="AF43" s="305">
        <v>38</v>
      </c>
      <c r="AG43" s="113" t="s">
        <v>605</v>
      </c>
      <c r="AH43" s="205">
        <v>37.734048025790223</v>
      </c>
      <c r="AJ43" s="304">
        <v>34</v>
      </c>
      <c r="AK43" s="113" t="s">
        <v>604</v>
      </c>
      <c r="AL43" s="205">
        <v>5.4195437096011198E-2</v>
      </c>
      <c r="AM43" s="205">
        <f t="shared" si="3"/>
        <v>54.195437096011197</v>
      </c>
      <c r="AO43" s="304">
        <v>32</v>
      </c>
      <c r="AP43" s="113" t="s">
        <v>429</v>
      </c>
      <c r="AQ43" s="205">
        <v>0.81287698899922878</v>
      </c>
      <c r="AS43" s="303">
        <v>19</v>
      </c>
      <c r="AT43" s="113" t="s">
        <v>555</v>
      </c>
      <c r="AU43" s="205">
        <v>1.7717779584065837E-3</v>
      </c>
      <c r="AV43" s="205">
        <f t="shared" si="4"/>
        <v>1.7717779584065836</v>
      </c>
      <c r="AX43" s="304">
        <v>36</v>
      </c>
      <c r="AY43" s="113" t="s">
        <v>582</v>
      </c>
      <c r="AZ43" s="205">
        <v>0.34636587312578399</v>
      </c>
      <c r="BB43" s="303">
        <v>10</v>
      </c>
      <c r="BC43" s="113" t="s">
        <v>642</v>
      </c>
      <c r="BD43" s="206">
        <v>7.0556869929310026E-4</v>
      </c>
      <c r="BE43" s="205">
        <f t="shared" si="5"/>
        <v>0.70556869929310029</v>
      </c>
      <c r="BG43" s="304">
        <v>31</v>
      </c>
      <c r="BH43" s="113" t="s">
        <v>315</v>
      </c>
      <c r="BI43" s="205">
        <v>0.1160818743227319</v>
      </c>
      <c r="BK43" s="307">
        <v>58</v>
      </c>
      <c r="BL43" s="113" t="s">
        <v>326</v>
      </c>
      <c r="BM43" s="206">
        <v>2.3264924889502693E-4</v>
      </c>
      <c r="BN43" s="205">
        <f t="shared" si="6"/>
        <v>0.23264924889502694</v>
      </c>
      <c r="BP43" s="304">
        <v>28</v>
      </c>
      <c r="BQ43" s="113" t="s">
        <v>63</v>
      </c>
      <c r="BR43" s="205">
        <v>469.94774648513879</v>
      </c>
      <c r="BT43" s="303">
        <v>21</v>
      </c>
      <c r="BU43" s="113" t="s">
        <v>580</v>
      </c>
      <c r="BV43" s="205">
        <v>0.91191243370530761</v>
      </c>
      <c r="BW43" s="205">
        <f t="shared" si="7"/>
        <v>911.91243370530765</v>
      </c>
      <c r="BY43" s="303">
        <v>19</v>
      </c>
      <c r="BZ43" s="113" t="s">
        <v>555</v>
      </c>
      <c r="CA43" s="205">
        <v>2.0878645220571861</v>
      </c>
      <c r="CC43" s="305">
        <v>39</v>
      </c>
      <c r="CD43" s="113" t="s">
        <v>583</v>
      </c>
      <c r="CE43" s="206">
        <v>5.7514650256878484E-3</v>
      </c>
      <c r="CF43" s="205">
        <f t="shared" si="8"/>
        <v>5.7514650256878488</v>
      </c>
      <c r="CH43" s="304">
        <v>31</v>
      </c>
      <c r="CI43" s="113" t="s">
        <v>315</v>
      </c>
      <c r="CJ43" s="205">
        <v>248.93218566129065</v>
      </c>
      <c r="CL43" s="303">
        <v>24</v>
      </c>
      <c r="CM43" s="113" t="s">
        <v>15</v>
      </c>
      <c r="CN43" s="206">
        <v>0.72468809462969108</v>
      </c>
      <c r="CO43" s="205">
        <f t="shared" si="9"/>
        <v>724.68809462969114</v>
      </c>
      <c r="CQ43" s="302">
        <v>5</v>
      </c>
      <c r="CR43" s="113" t="s">
        <v>37</v>
      </c>
      <c r="CS43" s="205">
        <v>8.7274362271606343</v>
      </c>
      <c r="CU43" s="304">
        <v>25</v>
      </c>
      <c r="CV43" s="113" t="s">
        <v>602</v>
      </c>
      <c r="CW43" s="206">
        <v>1.9660145620226836E-2</v>
      </c>
      <c r="CX43" s="205">
        <f t="shared" si="10"/>
        <v>19.660145620226835</v>
      </c>
      <c r="CZ43" s="303">
        <v>12</v>
      </c>
      <c r="DA43" s="113" t="s">
        <v>454</v>
      </c>
      <c r="DB43" s="205">
        <f>('nutrient content'!AA14/9)/calculations!C17</f>
        <v>1.3472611928652893</v>
      </c>
      <c r="DD43" s="303">
        <v>13</v>
      </c>
      <c r="DE43" s="113" t="s">
        <v>565</v>
      </c>
      <c r="DF43" s="206">
        <v>5.1195039173060836E-3</v>
      </c>
      <c r="DG43" s="205">
        <f t="shared" si="11"/>
        <v>5.1195039173060835</v>
      </c>
      <c r="DI43" s="307">
        <v>58</v>
      </c>
      <c r="DJ43" s="113" t="s">
        <v>326</v>
      </c>
      <c r="DK43" s="205">
        <v>5.2558815182964178</v>
      </c>
      <c r="DM43" s="304">
        <v>34</v>
      </c>
      <c r="DN43" s="113" t="s">
        <v>604</v>
      </c>
      <c r="DO43" s="206">
        <v>1.4752109917162847E-2</v>
      </c>
      <c r="DP43" s="205">
        <f t="shared" si="12"/>
        <v>14.752109917162846</v>
      </c>
    </row>
    <row r="44" spans="1:120" s="204" customFormat="1" x14ac:dyDescent="0.2">
      <c r="A44" s="303">
        <v>12</v>
      </c>
      <c r="B44" s="308" t="s">
        <v>454</v>
      </c>
      <c r="C44" s="309">
        <v>301.58990685464772</v>
      </c>
      <c r="E44" s="303">
        <v>18</v>
      </c>
      <c r="F44" s="113" t="s">
        <v>578</v>
      </c>
      <c r="G44" s="205">
        <v>53.633190184784851</v>
      </c>
      <c r="I44" s="307">
        <v>54</v>
      </c>
      <c r="J44" s="113" t="s">
        <v>49</v>
      </c>
      <c r="K44" s="205">
        <v>0.12037923288830189</v>
      </c>
      <c r="L44" s="205">
        <f t="shared" si="0"/>
        <v>120.3792328883019</v>
      </c>
      <c r="N44" s="303">
        <v>16</v>
      </c>
      <c r="O44" s="113" t="s">
        <v>553</v>
      </c>
      <c r="P44" s="205">
        <v>0.55645669193119696</v>
      </c>
      <c r="R44" s="303">
        <v>16</v>
      </c>
      <c r="S44" s="113" t="s">
        <v>553</v>
      </c>
      <c r="T44" s="205">
        <v>1.2755208724313867E-3</v>
      </c>
      <c r="U44" s="205">
        <f t="shared" si="1"/>
        <v>1.2755208724313867</v>
      </c>
      <c r="W44" s="307">
        <v>54</v>
      </c>
      <c r="X44" s="113" t="s">
        <v>49</v>
      </c>
      <c r="Y44" s="205">
        <v>36.609610681378683</v>
      </c>
      <c r="AA44" s="303">
        <v>17</v>
      </c>
      <c r="AB44" s="113" t="s">
        <v>554</v>
      </c>
      <c r="AC44" s="205">
        <v>8.504838144784839E-2</v>
      </c>
      <c r="AD44" s="205">
        <f t="shared" si="2"/>
        <v>85.048381447848385</v>
      </c>
      <c r="AF44" s="305">
        <v>41</v>
      </c>
      <c r="AG44" s="113" t="s">
        <v>584</v>
      </c>
      <c r="AH44" s="205">
        <v>29.933521571918529</v>
      </c>
      <c r="AJ44" s="303">
        <v>23</v>
      </c>
      <c r="AK44" s="113" t="s">
        <v>581</v>
      </c>
      <c r="AL44" s="205">
        <v>5.4097157922106523E-2</v>
      </c>
      <c r="AM44" s="205">
        <f t="shared" si="3"/>
        <v>54.097157922106526</v>
      </c>
      <c r="AO44" s="303">
        <v>13</v>
      </c>
      <c r="AP44" s="113" t="s">
        <v>565</v>
      </c>
      <c r="AQ44" s="205">
        <v>0.7644238707983505</v>
      </c>
      <c r="AS44" s="303">
        <v>24</v>
      </c>
      <c r="AT44" s="113" t="s">
        <v>15</v>
      </c>
      <c r="AU44" s="205">
        <v>1.2653645980439925E-3</v>
      </c>
      <c r="AV44" s="205">
        <f t="shared" si="4"/>
        <v>1.2653645980439925</v>
      </c>
      <c r="AX44" s="305">
        <v>38</v>
      </c>
      <c r="AY44" s="113" t="s">
        <v>605</v>
      </c>
      <c r="AZ44" s="205">
        <v>0.34502244305088803</v>
      </c>
      <c r="BB44" s="303">
        <v>24</v>
      </c>
      <c r="BC44" s="113" t="s">
        <v>15</v>
      </c>
      <c r="BD44" s="206">
        <v>6.7709787281998782E-4</v>
      </c>
      <c r="BE44" s="205">
        <f t="shared" si="5"/>
        <v>0.67709787281998779</v>
      </c>
      <c r="BG44" s="306">
        <v>48</v>
      </c>
      <c r="BH44" s="113" t="s">
        <v>155</v>
      </c>
      <c r="BI44" s="205">
        <v>8.036988130317918E-2</v>
      </c>
      <c r="BK44" s="306">
        <v>53</v>
      </c>
      <c r="BL44" s="113" t="s">
        <v>333</v>
      </c>
      <c r="BM44" s="206">
        <v>2.2195853771303032E-4</v>
      </c>
      <c r="BN44" s="205">
        <f t="shared" si="6"/>
        <v>0.22195853771303031</v>
      </c>
      <c r="BP44" s="303">
        <v>19</v>
      </c>
      <c r="BQ44" s="113" t="s">
        <v>555</v>
      </c>
      <c r="BR44" s="205">
        <v>460.79885990665281</v>
      </c>
      <c r="BT44" s="304">
        <v>29</v>
      </c>
      <c r="BU44" s="113" t="s">
        <v>615</v>
      </c>
      <c r="BV44" s="205">
        <v>0.90669159867004223</v>
      </c>
      <c r="BW44" s="205">
        <f t="shared" si="7"/>
        <v>906.69159867004225</v>
      </c>
      <c r="BY44" s="303">
        <v>9</v>
      </c>
      <c r="BZ44" s="113" t="s">
        <v>640</v>
      </c>
      <c r="CA44" s="205">
        <v>2.0557450506305428</v>
      </c>
      <c r="CC44" s="304">
        <v>33</v>
      </c>
      <c r="CD44" s="113" t="s">
        <v>331</v>
      </c>
      <c r="CE44" s="206">
        <v>5.7097225548147241E-3</v>
      </c>
      <c r="CF44" s="205">
        <f t="shared" si="8"/>
        <v>5.7097225548147241</v>
      </c>
      <c r="CH44" s="303">
        <v>13</v>
      </c>
      <c r="CI44" s="113" t="s">
        <v>565</v>
      </c>
      <c r="CJ44" s="205">
        <v>240.85353995100596</v>
      </c>
      <c r="CL44" s="306">
        <v>42</v>
      </c>
      <c r="CM44" s="113" t="s">
        <v>230</v>
      </c>
      <c r="CN44" s="206">
        <v>0.68606428735836322</v>
      </c>
      <c r="CO44" s="205">
        <f t="shared" si="9"/>
        <v>686.06428735836323</v>
      </c>
      <c r="CQ44" s="303">
        <v>9</v>
      </c>
      <c r="CR44" s="113" t="s">
        <v>640</v>
      </c>
      <c r="CS44" s="205">
        <v>7.8652354669174196</v>
      </c>
      <c r="CU44" s="304">
        <v>26</v>
      </c>
      <c r="CV44" s="113" t="s">
        <v>329</v>
      </c>
      <c r="CW44" s="206">
        <v>1.9490954897593449E-2</v>
      </c>
      <c r="CX44" s="205">
        <f t="shared" si="10"/>
        <v>19.490954897593447</v>
      </c>
      <c r="CZ44" s="303">
        <v>11</v>
      </c>
      <c r="DA44" s="113" t="s">
        <v>564</v>
      </c>
      <c r="DB44" s="205">
        <f>('nutrient content'!AA13/9)/calculations!C16</f>
        <v>1.4290129156349312</v>
      </c>
      <c r="DD44" s="306">
        <v>53</v>
      </c>
      <c r="DE44" s="113" t="s">
        <v>333</v>
      </c>
      <c r="DF44" s="206">
        <v>4.9807978864887985E-3</v>
      </c>
      <c r="DG44" s="205">
        <f t="shared" si="11"/>
        <v>4.9807978864887987</v>
      </c>
      <c r="DI44" s="304">
        <v>27</v>
      </c>
      <c r="DJ44" s="113" t="s">
        <v>457</v>
      </c>
      <c r="DK44" s="205">
        <v>5.1875435709780113</v>
      </c>
      <c r="DM44" s="306">
        <v>42</v>
      </c>
      <c r="DN44" s="113" t="s">
        <v>230</v>
      </c>
      <c r="DO44" s="206">
        <v>1.0458730308457719E-2</v>
      </c>
      <c r="DP44" s="205">
        <f t="shared" si="12"/>
        <v>10.458730308457719</v>
      </c>
    </row>
    <row r="45" spans="1:120" s="204" customFormat="1" x14ac:dyDescent="0.2">
      <c r="A45" s="303">
        <v>19</v>
      </c>
      <c r="B45" s="308" t="s">
        <v>555</v>
      </c>
      <c r="C45" s="309">
        <v>275.53403954445366</v>
      </c>
      <c r="E45" s="303">
        <v>6</v>
      </c>
      <c r="F45" s="113" t="s">
        <v>637</v>
      </c>
      <c r="G45" s="205">
        <v>47.926499100271549</v>
      </c>
      <c r="I45" s="307">
        <v>56</v>
      </c>
      <c r="J45" s="113" t="s">
        <v>51</v>
      </c>
      <c r="K45" s="205">
        <v>0.11744519601494229</v>
      </c>
      <c r="L45" s="205">
        <f t="shared" si="0"/>
        <v>117.44519601494228</v>
      </c>
      <c r="N45" s="303">
        <v>22</v>
      </c>
      <c r="O45" s="113" t="s">
        <v>430</v>
      </c>
      <c r="P45" s="205">
        <v>0.38988366955208698</v>
      </c>
      <c r="R45" s="307">
        <v>57</v>
      </c>
      <c r="S45" s="113" t="s">
        <v>641</v>
      </c>
      <c r="T45" s="205">
        <v>1.0832202918171882E-3</v>
      </c>
      <c r="U45" s="205">
        <f t="shared" si="1"/>
        <v>1.0832202918171883</v>
      </c>
      <c r="W45" s="305">
        <v>40</v>
      </c>
      <c r="X45" s="113" t="s">
        <v>606</v>
      </c>
      <c r="Y45" s="205">
        <v>33.60134593400052</v>
      </c>
      <c r="AA45" s="302">
        <v>1</v>
      </c>
      <c r="AB45" s="113" t="s">
        <v>577</v>
      </c>
      <c r="AC45" s="205">
        <v>7.2031234035541403E-2</v>
      </c>
      <c r="AD45" s="205">
        <f t="shared" si="2"/>
        <v>72.031234035541402</v>
      </c>
      <c r="AF45" s="304">
        <v>25</v>
      </c>
      <c r="AG45" s="113" t="s">
        <v>602</v>
      </c>
      <c r="AH45" s="205">
        <v>20.496978875030912</v>
      </c>
      <c r="AJ45" s="303">
        <v>17</v>
      </c>
      <c r="AK45" s="113" t="s">
        <v>554</v>
      </c>
      <c r="AL45" s="205">
        <v>4.7510210920647951E-2</v>
      </c>
      <c r="AM45" s="205">
        <f t="shared" si="3"/>
        <v>47.51021092064795</v>
      </c>
      <c r="AO45" s="303">
        <v>14</v>
      </c>
      <c r="AP45" s="113" t="s">
        <v>456</v>
      </c>
      <c r="AQ45" s="205">
        <v>0.7270428730617442</v>
      </c>
      <c r="AS45" s="304">
        <v>32</v>
      </c>
      <c r="AT45" s="113" t="s">
        <v>429</v>
      </c>
      <c r="AU45" s="205">
        <v>1.2536690942798166E-3</v>
      </c>
      <c r="AV45" s="205">
        <f t="shared" si="4"/>
        <v>1.2536690942798165</v>
      </c>
      <c r="AX45" s="306">
        <v>46</v>
      </c>
      <c r="AY45" s="113" t="s">
        <v>535</v>
      </c>
      <c r="AZ45" s="205">
        <v>0.33949971690464403</v>
      </c>
      <c r="BB45" s="304">
        <v>37</v>
      </c>
      <c r="BC45" s="113" t="s">
        <v>455</v>
      </c>
      <c r="BD45" s="206">
        <v>6.3060701161465568E-4</v>
      </c>
      <c r="BE45" s="205">
        <f t="shared" si="5"/>
        <v>0.63060701161465571</v>
      </c>
      <c r="BG45" s="306">
        <v>45</v>
      </c>
      <c r="BH45" s="113" t="s">
        <v>448</v>
      </c>
      <c r="BI45" s="205">
        <v>6.9237075380992399E-2</v>
      </c>
      <c r="BK45" s="304">
        <v>25</v>
      </c>
      <c r="BL45" s="113" t="s">
        <v>602</v>
      </c>
      <c r="BM45" s="206">
        <v>1.9725497280176555E-4</v>
      </c>
      <c r="BN45" s="205">
        <f t="shared" si="6"/>
        <v>0.19725497280176554</v>
      </c>
      <c r="BP45" s="303">
        <v>21</v>
      </c>
      <c r="BQ45" s="113" t="s">
        <v>580</v>
      </c>
      <c r="BR45" s="205">
        <v>436.71744649946754</v>
      </c>
      <c r="BT45" s="303">
        <v>20</v>
      </c>
      <c r="BU45" s="113" t="s">
        <v>579</v>
      </c>
      <c r="BV45" s="205">
        <v>0.86121029019693396</v>
      </c>
      <c r="BW45" s="205">
        <f t="shared" si="7"/>
        <v>861.21029019693401</v>
      </c>
      <c r="BY45" s="303">
        <v>10</v>
      </c>
      <c r="BZ45" s="113" t="s">
        <v>642</v>
      </c>
      <c r="CA45" s="205">
        <v>1.8566759957699817</v>
      </c>
      <c r="CC45" s="304">
        <v>34</v>
      </c>
      <c r="CD45" s="113" t="s">
        <v>604</v>
      </c>
      <c r="CE45" s="206">
        <v>5.4267110349990287E-3</v>
      </c>
      <c r="CF45" s="205">
        <f t="shared" si="8"/>
        <v>5.4267110349990286</v>
      </c>
      <c r="CH45" s="303">
        <v>14</v>
      </c>
      <c r="CI45" s="113" t="s">
        <v>456</v>
      </c>
      <c r="CJ45" s="205">
        <v>215.38328618962518</v>
      </c>
      <c r="CL45" s="302">
        <v>1</v>
      </c>
      <c r="CM45" s="113" t="s">
        <v>577</v>
      </c>
      <c r="CN45" s="206">
        <v>0.65396367697601954</v>
      </c>
      <c r="CO45" s="205">
        <f t="shared" si="9"/>
        <v>653.96367697601954</v>
      </c>
      <c r="CQ45" s="303">
        <v>12</v>
      </c>
      <c r="CR45" s="113" t="s">
        <v>454</v>
      </c>
      <c r="CS45" s="205">
        <v>7.660389179133996</v>
      </c>
      <c r="CU45" s="307">
        <v>58</v>
      </c>
      <c r="CV45" s="113" t="s">
        <v>326</v>
      </c>
      <c r="CW45" s="206">
        <v>1.9451416465073163E-2</v>
      </c>
      <c r="CX45" s="205">
        <f t="shared" si="10"/>
        <v>19.451416465073162</v>
      </c>
      <c r="CZ45" s="304">
        <v>27</v>
      </c>
      <c r="DA45" s="113" t="s">
        <v>457</v>
      </c>
      <c r="DB45" s="205">
        <f>('nutrient content'!AA29/9)/calculations!C32</f>
        <v>1.4388720308089464</v>
      </c>
      <c r="DD45" s="304">
        <v>28</v>
      </c>
      <c r="DE45" s="113" t="s">
        <v>63</v>
      </c>
      <c r="DF45" s="206">
        <v>4.1945348006726226E-3</v>
      </c>
      <c r="DG45" s="205">
        <f t="shared" si="11"/>
        <v>4.1945348006726224</v>
      </c>
      <c r="DI45" s="306">
        <v>44</v>
      </c>
      <c r="DJ45" s="113" t="s">
        <v>176</v>
      </c>
      <c r="DK45" s="205">
        <v>4.9742960409893149</v>
      </c>
      <c r="DM45" s="304">
        <v>28</v>
      </c>
      <c r="DN45" s="113" t="s">
        <v>63</v>
      </c>
      <c r="DO45" s="206">
        <v>1.0297960215673058E-2</v>
      </c>
      <c r="DP45" s="205">
        <f t="shared" si="12"/>
        <v>10.297960215673058</v>
      </c>
    </row>
    <row r="46" spans="1:120" s="204" customFormat="1" x14ac:dyDescent="0.2">
      <c r="A46" s="303">
        <v>17</v>
      </c>
      <c r="B46" s="308" t="s">
        <v>554</v>
      </c>
      <c r="C46" s="309">
        <v>266.74136638381572</v>
      </c>
      <c r="E46" s="303">
        <v>14</v>
      </c>
      <c r="F46" s="113" t="s">
        <v>456</v>
      </c>
      <c r="G46" s="205">
        <v>47.922921217321331</v>
      </c>
      <c r="I46" s="304">
        <v>32</v>
      </c>
      <c r="J46" s="113" t="s">
        <v>429</v>
      </c>
      <c r="K46" s="205">
        <v>0.11632412439671884</v>
      </c>
      <c r="L46" s="205">
        <f t="shared" si="0"/>
        <v>116.32412439671884</v>
      </c>
      <c r="N46" s="303">
        <v>15</v>
      </c>
      <c r="O46" s="113" t="s">
        <v>458</v>
      </c>
      <c r="P46" s="205">
        <v>0.32180112160008822</v>
      </c>
      <c r="R46" s="303">
        <v>18</v>
      </c>
      <c r="S46" s="113" t="s">
        <v>578</v>
      </c>
      <c r="T46" s="205">
        <v>9.8152077241244937E-4</v>
      </c>
      <c r="U46" s="205">
        <f t="shared" si="1"/>
        <v>0.98152077241244939</v>
      </c>
      <c r="W46" s="303">
        <v>15</v>
      </c>
      <c r="X46" s="113" t="s">
        <v>458</v>
      </c>
      <c r="Y46" s="205">
        <v>30.091688412298009</v>
      </c>
      <c r="AA46" s="304">
        <v>34</v>
      </c>
      <c r="AB46" s="113" t="s">
        <v>604</v>
      </c>
      <c r="AC46" s="205">
        <v>7.0768961319906884E-2</v>
      </c>
      <c r="AD46" s="205">
        <f t="shared" si="2"/>
        <v>70.768961319906879</v>
      </c>
      <c r="AF46" s="303">
        <v>13</v>
      </c>
      <c r="AG46" s="113" t="s">
        <v>565</v>
      </c>
      <c r="AH46" s="205">
        <v>20.320367773530133</v>
      </c>
      <c r="AJ46" s="304">
        <v>26</v>
      </c>
      <c r="AK46" s="113" t="s">
        <v>329</v>
      </c>
      <c r="AL46" s="205">
        <v>4.5404062454977648E-2</v>
      </c>
      <c r="AM46" s="205">
        <f t="shared" si="3"/>
        <v>45.404062454977648</v>
      </c>
      <c r="AO46" s="302">
        <v>1</v>
      </c>
      <c r="AP46" s="113" t="s">
        <v>577</v>
      </c>
      <c r="AQ46" s="205">
        <v>0.57345454972543297</v>
      </c>
      <c r="AS46" s="303">
        <v>14</v>
      </c>
      <c r="AT46" s="113" t="s">
        <v>456</v>
      </c>
      <c r="AU46" s="205">
        <v>1.0084036400912939E-3</v>
      </c>
      <c r="AV46" s="205">
        <f t="shared" si="4"/>
        <v>1.0084036400912939</v>
      </c>
      <c r="AX46" s="304">
        <v>32</v>
      </c>
      <c r="AY46" s="113" t="s">
        <v>429</v>
      </c>
      <c r="AZ46" s="205">
        <v>0.32907000365326122</v>
      </c>
      <c r="BB46" s="303">
        <v>18</v>
      </c>
      <c r="BC46" s="113" t="s">
        <v>578</v>
      </c>
      <c r="BD46" s="206">
        <v>6.2413619488851588E-4</v>
      </c>
      <c r="BE46" s="205">
        <f t="shared" si="5"/>
        <v>0.6241361948885159</v>
      </c>
      <c r="BG46" s="306">
        <v>53</v>
      </c>
      <c r="BH46" s="113" t="s">
        <v>333</v>
      </c>
      <c r="BI46" s="205">
        <v>4.9924736837272582E-2</v>
      </c>
      <c r="BK46" s="304">
        <v>35</v>
      </c>
      <c r="BL46" s="113" t="s">
        <v>563</v>
      </c>
      <c r="BM46" s="206">
        <v>1.5352170884247855E-4</v>
      </c>
      <c r="BN46" s="205">
        <f t="shared" si="6"/>
        <v>0.15352170884247857</v>
      </c>
      <c r="BP46" s="303">
        <v>7</v>
      </c>
      <c r="BQ46" s="113" t="s">
        <v>638</v>
      </c>
      <c r="BR46" s="205">
        <v>391.95766381760109</v>
      </c>
      <c r="BT46" s="303">
        <v>14</v>
      </c>
      <c r="BU46" s="113" t="s">
        <v>456</v>
      </c>
      <c r="BV46" s="205">
        <v>0.78586557934040158</v>
      </c>
      <c r="BW46" s="205">
        <f t="shared" si="7"/>
        <v>785.86557934040161</v>
      </c>
      <c r="BY46" s="305">
        <v>38</v>
      </c>
      <c r="BZ46" s="113" t="s">
        <v>605</v>
      </c>
      <c r="CA46" s="205">
        <v>1.6430001196106072</v>
      </c>
      <c r="CC46" s="303">
        <v>15</v>
      </c>
      <c r="CD46" s="113" t="s">
        <v>458</v>
      </c>
      <c r="CE46" s="206">
        <v>5.2790625898837835E-3</v>
      </c>
      <c r="CF46" s="205">
        <f t="shared" si="8"/>
        <v>5.2790625898837833</v>
      </c>
      <c r="CH46" s="303">
        <v>6</v>
      </c>
      <c r="CI46" s="113" t="s">
        <v>637</v>
      </c>
      <c r="CJ46" s="205">
        <v>202.26259566387424</v>
      </c>
      <c r="CL46" s="303">
        <v>11</v>
      </c>
      <c r="CM46" s="113" t="s">
        <v>564</v>
      </c>
      <c r="CN46" s="206">
        <v>0.63986014002221314</v>
      </c>
      <c r="CO46" s="205">
        <f t="shared" si="9"/>
        <v>639.86014002221316</v>
      </c>
      <c r="CQ46" s="304">
        <v>28</v>
      </c>
      <c r="CR46" s="113" t="s">
        <v>63</v>
      </c>
      <c r="CS46" s="205">
        <v>7.0464171303028333</v>
      </c>
      <c r="CU46" s="302">
        <v>5</v>
      </c>
      <c r="CV46" s="113" t="s">
        <v>37</v>
      </c>
      <c r="CW46" s="206">
        <v>1.8952378549372019E-2</v>
      </c>
      <c r="CX46" s="205">
        <f t="shared" si="10"/>
        <v>18.952378549372018</v>
      </c>
      <c r="CZ46" s="306">
        <v>44</v>
      </c>
      <c r="DA46" s="113" t="s">
        <v>176</v>
      </c>
      <c r="DB46" s="205">
        <f>('nutrient content'!AA46/9)/calculations!C49</f>
        <v>1.2491319613473126</v>
      </c>
      <c r="DD46" s="304">
        <v>29</v>
      </c>
      <c r="DE46" s="113" t="s">
        <v>615</v>
      </c>
      <c r="DF46" s="206">
        <v>4.1569496702218191E-3</v>
      </c>
      <c r="DG46" s="205">
        <f t="shared" si="11"/>
        <v>4.1569496702218194</v>
      </c>
      <c r="DI46" s="304">
        <v>28</v>
      </c>
      <c r="DJ46" s="113" t="s">
        <v>63</v>
      </c>
      <c r="DK46" s="205">
        <v>4.5958398549953818</v>
      </c>
      <c r="DM46" s="306">
        <v>53</v>
      </c>
      <c r="DN46" s="113" t="s">
        <v>333</v>
      </c>
      <c r="DO46" s="206">
        <v>9.3181132029956162E-3</v>
      </c>
      <c r="DP46" s="205">
        <f t="shared" si="12"/>
        <v>9.3181132029956171</v>
      </c>
    </row>
    <row r="47" spans="1:120" s="204" customFormat="1" x14ac:dyDescent="0.2">
      <c r="A47" s="306">
        <v>48</v>
      </c>
      <c r="B47" s="308" t="s">
        <v>155</v>
      </c>
      <c r="C47" s="309">
        <v>259.66442707951501</v>
      </c>
      <c r="E47" s="303">
        <v>11</v>
      </c>
      <c r="F47" s="113" t="s">
        <v>564</v>
      </c>
      <c r="G47" s="205">
        <v>44.424668577159537</v>
      </c>
      <c r="I47" s="305">
        <v>41</v>
      </c>
      <c r="J47" s="113" t="s">
        <v>584</v>
      </c>
      <c r="K47" s="205">
        <v>0.10701735683883229</v>
      </c>
      <c r="L47" s="205">
        <f t="shared" si="0"/>
        <v>107.01735683883228</v>
      </c>
      <c r="N47" s="303">
        <v>20</v>
      </c>
      <c r="O47" s="113" t="s">
        <v>579</v>
      </c>
      <c r="P47" s="205">
        <v>0.30737039430303215</v>
      </c>
      <c r="R47" s="303">
        <v>14</v>
      </c>
      <c r="S47" s="113" t="s">
        <v>456</v>
      </c>
      <c r="T47" s="205">
        <v>9.0236252077284388E-4</v>
      </c>
      <c r="U47" s="205">
        <f t="shared" si="1"/>
        <v>0.90236252077284385</v>
      </c>
      <c r="W47" s="303">
        <v>12</v>
      </c>
      <c r="X47" s="113" t="s">
        <v>454</v>
      </c>
      <c r="Y47" s="205">
        <v>29.92464269060812</v>
      </c>
      <c r="AA47" s="303">
        <v>15</v>
      </c>
      <c r="AB47" s="113" t="s">
        <v>458</v>
      </c>
      <c r="AC47" s="205">
        <v>6.8698318686025953E-2</v>
      </c>
      <c r="AD47" s="205">
        <f t="shared" si="2"/>
        <v>68.698318686025956</v>
      </c>
      <c r="AF47" s="307">
        <v>58</v>
      </c>
      <c r="AG47" s="113" t="s">
        <v>326</v>
      </c>
      <c r="AH47" s="205">
        <v>15.018108891215695</v>
      </c>
      <c r="AJ47" s="303">
        <v>19</v>
      </c>
      <c r="AK47" s="113" t="s">
        <v>555</v>
      </c>
      <c r="AL47" s="205">
        <v>3.1267174270118082E-2</v>
      </c>
      <c r="AM47" s="205">
        <f t="shared" si="3"/>
        <v>31.267174270118083</v>
      </c>
      <c r="AO47" s="303">
        <v>19</v>
      </c>
      <c r="AP47" s="113" t="s">
        <v>555</v>
      </c>
      <c r="AQ47" s="205">
        <v>0.48818513805559099</v>
      </c>
      <c r="AS47" s="303">
        <v>8</v>
      </c>
      <c r="AT47" s="113" t="s">
        <v>639</v>
      </c>
      <c r="AU47" s="205">
        <v>9.7524292144084027E-4</v>
      </c>
      <c r="AV47" s="205">
        <f t="shared" si="4"/>
        <v>0.97524292144084024</v>
      </c>
      <c r="AX47" s="306">
        <v>48</v>
      </c>
      <c r="AY47" s="113" t="s">
        <v>155</v>
      </c>
      <c r="AZ47" s="205">
        <v>0.31840046443696818</v>
      </c>
      <c r="BB47" s="302">
        <v>1</v>
      </c>
      <c r="BC47" s="113" t="s">
        <v>577</v>
      </c>
      <c r="BD47" s="206">
        <v>5.6019435011691709E-4</v>
      </c>
      <c r="BE47" s="205">
        <f t="shared" si="5"/>
        <v>0.56019435011691709</v>
      </c>
      <c r="BG47" s="306">
        <v>42</v>
      </c>
      <c r="BH47" s="113" t="s">
        <v>230</v>
      </c>
      <c r="BI47" s="205">
        <v>3.9007706341254215E-2</v>
      </c>
      <c r="BK47" s="307">
        <v>55</v>
      </c>
      <c r="BL47" s="113" t="s">
        <v>50</v>
      </c>
      <c r="BM47" s="206">
        <v>1.44281542425291E-4</v>
      </c>
      <c r="BN47" s="205">
        <f t="shared" si="6"/>
        <v>0.14428154242529101</v>
      </c>
      <c r="BP47" s="304">
        <v>33</v>
      </c>
      <c r="BQ47" s="113" t="s">
        <v>331</v>
      </c>
      <c r="BR47" s="205">
        <v>381.35207738554016</v>
      </c>
      <c r="BT47" s="303">
        <v>15</v>
      </c>
      <c r="BU47" s="113" t="s">
        <v>458</v>
      </c>
      <c r="BV47" s="205">
        <v>0.78182242817018732</v>
      </c>
      <c r="BW47" s="205">
        <f t="shared" si="7"/>
        <v>781.82242817018732</v>
      </c>
      <c r="BY47" s="302">
        <v>4</v>
      </c>
      <c r="BZ47" s="113" t="s">
        <v>36</v>
      </c>
      <c r="CA47" s="205">
        <v>1.4462098110927872</v>
      </c>
      <c r="CC47" s="303">
        <v>17</v>
      </c>
      <c r="CD47" s="113" t="s">
        <v>554</v>
      </c>
      <c r="CE47" s="206">
        <v>4.809901567827555E-3</v>
      </c>
      <c r="CF47" s="205">
        <f t="shared" si="8"/>
        <v>4.8099015678275547</v>
      </c>
      <c r="CH47" s="307">
        <v>57</v>
      </c>
      <c r="CI47" s="113" t="s">
        <v>641</v>
      </c>
      <c r="CJ47" s="205">
        <v>172.53636694484743</v>
      </c>
      <c r="CL47" s="302">
        <v>5</v>
      </c>
      <c r="CM47" s="113" t="s">
        <v>37</v>
      </c>
      <c r="CN47" s="206">
        <v>0.55710247877295771</v>
      </c>
      <c r="CO47" s="205">
        <f t="shared" si="9"/>
        <v>557.10247877295774</v>
      </c>
      <c r="CQ47" s="306">
        <v>44</v>
      </c>
      <c r="CR47" s="113" t="s">
        <v>176</v>
      </c>
      <c r="CS47" s="205">
        <v>6.6441199705731959</v>
      </c>
      <c r="CU47" s="304">
        <v>29</v>
      </c>
      <c r="CV47" s="113" t="s">
        <v>615</v>
      </c>
      <c r="CW47" s="206">
        <v>1.6638027764970219E-2</v>
      </c>
      <c r="CX47" s="205">
        <f t="shared" si="10"/>
        <v>16.638027764970218</v>
      </c>
      <c r="CZ47" s="304">
        <v>28</v>
      </c>
      <c r="DA47" s="113" t="s">
        <v>63</v>
      </c>
      <c r="DB47" s="205">
        <f>('nutrient content'!AA30/9)/calculations!C33</f>
        <v>0.71531022736514116</v>
      </c>
      <c r="DD47" s="304">
        <v>26</v>
      </c>
      <c r="DE47" s="113" t="s">
        <v>329</v>
      </c>
      <c r="DF47" s="206">
        <v>4.1133664196877926E-3</v>
      </c>
      <c r="DG47" s="205">
        <f t="shared" si="11"/>
        <v>4.1133664196877922</v>
      </c>
      <c r="DI47" s="304">
        <v>29</v>
      </c>
      <c r="DJ47" s="113" t="s">
        <v>615</v>
      </c>
      <c r="DK47" s="205">
        <v>4.4816890570183912</v>
      </c>
      <c r="DM47" s="304">
        <v>27</v>
      </c>
      <c r="DN47" s="113" t="s">
        <v>457</v>
      </c>
      <c r="DO47" s="206">
        <v>8.284649387839212E-3</v>
      </c>
      <c r="DP47" s="205">
        <f t="shared" si="12"/>
        <v>8.2846493878392113</v>
      </c>
    </row>
    <row r="48" spans="1:120" s="204" customFormat="1" x14ac:dyDescent="0.2">
      <c r="A48" s="306">
        <v>47</v>
      </c>
      <c r="B48" s="308" t="s">
        <v>603</v>
      </c>
      <c r="C48" s="309">
        <v>237.76030132745828</v>
      </c>
      <c r="E48" s="303">
        <v>16</v>
      </c>
      <c r="F48" s="113" t="s">
        <v>553</v>
      </c>
      <c r="G48" s="205">
        <v>42.331810691534578</v>
      </c>
      <c r="I48" s="303">
        <v>8</v>
      </c>
      <c r="J48" s="113" t="s">
        <v>639</v>
      </c>
      <c r="K48" s="205">
        <v>0.10185994613233103</v>
      </c>
      <c r="L48" s="205">
        <f t="shared" si="0"/>
        <v>101.85994613233103</v>
      </c>
      <c r="N48" s="303">
        <v>8</v>
      </c>
      <c r="O48" s="113" t="s">
        <v>639</v>
      </c>
      <c r="P48" s="205">
        <v>0.30669491380472924</v>
      </c>
      <c r="R48" s="303">
        <v>8</v>
      </c>
      <c r="S48" s="113" t="s">
        <v>639</v>
      </c>
      <c r="T48" s="205">
        <v>7.8897374014597944E-4</v>
      </c>
      <c r="U48" s="205">
        <f t="shared" si="1"/>
        <v>0.78897374014597943</v>
      </c>
      <c r="W48" s="303">
        <v>8</v>
      </c>
      <c r="X48" s="113" t="s">
        <v>639</v>
      </c>
      <c r="Y48" s="205">
        <v>24.146365439458158</v>
      </c>
      <c r="AA48" s="302">
        <v>4</v>
      </c>
      <c r="AB48" s="113" t="s">
        <v>36</v>
      </c>
      <c r="AC48" s="205">
        <v>6.8191456709858822E-2</v>
      </c>
      <c r="AD48" s="205">
        <f t="shared" si="2"/>
        <v>68.191456709858826</v>
      </c>
      <c r="AF48" s="304">
        <v>35</v>
      </c>
      <c r="AG48" s="113" t="s">
        <v>563</v>
      </c>
      <c r="AH48" s="205">
        <v>13.722534349566541</v>
      </c>
      <c r="AJ48" s="305">
        <v>40</v>
      </c>
      <c r="AK48" s="113" t="s">
        <v>606</v>
      </c>
      <c r="AL48" s="205">
        <v>2.8077831144127163E-2</v>
      </c>
      <c r="AM48" s="205">
        <f t="shared" si="3"/>
        <v>28.077831144127163</v>
      </c>
      <c r="AO48" s="304">
        <v>25</v>
      </c>
      <c r="AP48" s="113" t="s">
        <v>602</v>
      </c>
      <c r="AQ48" s="205">
        <v>0.44245298898469226</v>
      </c>
      <c r="AS48" s="303">
        <v>9</v>
      </c>
      <c r="AT48" s="113" t="s">
        <v>640</v>
      </c>
      <c r="AU48" s="205">
        <v>8.204952872934762E-4</v>
      </c>
      <c r="AV48" s="205">
        <f t="shared" si="4"/>
        <v>0.82049528729347621</v>
      </c>
      <c r="AX48" s="304">
        <v>33</v>
      </c>
      <c r="AY48" s="113" t="s">
        <v>331</v>
      </c>
      <c r="AZ48" s="205">
        <v>0.29472575812426777</v>
      </c>
      <c r="BB48" s="304">
        <v>32</v>
      </c>
      <c r="BC48" s="113" t="s">
        <v>429</v>
      </c>
      <c r="BD48" s="206">
        <v>5.0751208241549977E-4</v>
      </c>
      <c r="BE48" s="205">
        <f t="shared" si="5"/>
        <v>0.50751208241549972</v>
      </c>
      <c r="BG48" s="306">
        <v>44</v>
      </c>
      <c r="BH48" s="113" t="s">
        <v>176</v>
      </c>
      <c r="BI48" s="205">
        <v>3.2358780964349812E-2</v>
      </c>
      <c r="BK48" s="306">
        <v>45</v>
      </c>
      <c r="BL48" s="113" t="s">
        <v>448</v>
      </c>
      <c r="BM48" s="206">
        <v>1.2031228719525144E-4</v>
      </c>
      <c r="BN48" s="205">
        <f t="shared" si="6"/>
        <v>0.12031228719525143</v>
      </c>
      <c r="BP48" s="304">
        <v>34</v>
      </c>
      <c r="BQ48" s="113" t="s">
        <v>604</v>
      </c>
      <c r="BR48" s="205">
        <v>350.60045340932652</v>
      </c>
      <c r="BT48" s="304">
        <v>36</v>
      </c>
      <c r="BU48" s="113" t="s">
        <v>582</v>
      </c>
      <c r="BV48" s="205">
        <v>0.74393493126548038</v>
      </c>
      <c r="BW48" s="205">
        <f t="shared" si="7"/>
        <v>743.93493126548037</v>
      </c>
      <c r="BY48" s="303">
        <v>11</v>
      </c>
      <c r="BZ48" s="113" t="s">
        <v>564</v>
      </c>
      <c r="CA48" s="205">
        <v>1.3516101100663269</v>
      </c>
      <c r="CC48" s="303">
        <v>10</v>
      </c>
      <c r="CD48" s="113" t="s">
        <v>642</v>
      </c>
      <c r="CE48" s="206">
        <v>4.7601790116355959E-3</v>
      </c>
      <c r="CF48" s="205">
        <f t="shared" si="8"/>
        <v>4.7601790116355955</v>
      </c>
      <c r="CH48" s="307">
        <v>58</v>
      </c>
      <c r="CI48" s="113" t="s">
        <v>326</v>
      </c>
      <c r="CJ48" s="205">
        <v>156.97211893125461</v>
      </c>
      <c r="CL48" s="302">
        <v>4</v>
      </c>
      <c r="CM48" s="113" t="s">
        <v>36</v>
      </c>
      <c r="CN48" s="206">
        <v>0.49077875703816987</v>
      </c>
      <c r="CO48" s="205">
        <f t="shared" si="9"/>
        <v>490.77875703816989</v>
      </c>
      <c r="CQ48" s="304">
        <v>27</v>
      </c>
      <c r="CR48" s="113" t="s">
        <v>457</v>
      </c>
      <c r="CS48" s="205">
        <v>6.1565787789644508</v>
      </c>
      <c r="CU48" s="306">
        <v>53</v>
      </c>
      <c r="CV48" s="113" t="s">
        <v>333</v>
      </c>
      <c r="CW48" s="206">
        <v>1.6313195533907848E-2</v>
      </c>
      <c r="CX48" s="205">
        <f t="shared" si="10"/>
        <v>16.313195533907848</v>
      </c>
      <c r="CZ48" s="306">
        <v>53</v>
      </c>
      <c r="DA48" s="113" t="s">
        <v>333</v>
      </c>
      <c r="DB48" s="205">
        <f>('nutrient content'!AA55/9)/calculations!C58</f>
        <v>0.7066395474602849</v>
      </c>
      <c r="DD48" s="304">
        <v>25</v>
      </c>
      <c r="DE48" s="113" t="s">
        <v>602</v>
      </c>
      <c r="DF48" s="206">
        <v>3.5885578343515883E-3</v>
      </c>
      <c r="DG48" s="205">
        <f t="shared" si="11"/>
        <v>3.5885578343515885</v>
      </c>
      <c r="DI48" s="304">
        <v>35</v>
      </c>
      <c r="DJ48" s="113" t="s">
        <v>563</v>
      </c>
      <c r="DK48" s="205">
        <v>2.7141976326641584</v>
      </c>
      <c r="DM48" s="307">
        <v>58</v>
      </c>
      <c r="DN48" s="113" t="s">
        <v>326</v>
      </c>
      <c r="DO48" s="206">
        <v>7.3255176811207736E-3</v>
      </c>
      <c r="DP48" s="205">
        <f t="shared" si="12"/>
        <v>7.3255176811207736</v>
      </c>
    </row>
    <row r="49" spans="1:120" s="204" customFormat="1" x14ac:dyDescent="0.2">
      <c r="A49" s="306">
        <v>53</v>
      </c>
      <c r="B49" s="308" t="s">
        <v>333</v>
      </c>
      <c r="C49" s="309">
        <v>224.92821115004892</v>
      </c>
      <c r="E49" s="304">
        <v>34</v>
      </c>
      <c r="F49" s="113" t="s">
        <v>604</v>
      </c>
      <c r="G49" s="205">
        <v>41.502348602393653</v>
      </c>
      <c r="I49" s="303">
        <v>16</v>
      </c>
      <c r="J49" s="113" t="s">
        <v>553</v>
      </c>
      <c r="K49" s="205">
        <v>9.7033801350245433E-2</v>
      </c>
      <c r="L49" s="205">
        <f t="shared" si="0"/>
        <v>97.033801350245426</v>
      </c>
      <c r="N49" s="303">
        <v>11</v>
      </c>
      <c r="O49" s="113" t="s">
        <v>564</v>
      </c>
      <c r="P49" s="205">
        <v>0.28375196972807071</v>
      </c>
      <c r="R49" s="303">
        <v>15</v>
      </c>
      <c r="S49" s="113" t="s">
        <v>458</v>
      </c>
      <c r="T49" s="205">
        <v>7.3466120286452851E-4</v>
      </c>
      <c r="U49" s="205">
        <f t="shared" si="1"/>
        <v>0.73466120286452852</v>
      </c>
      <c r="W49" s="303">
        <v>17</v>
      </c>
      <c r="X49" s="113" t="s">
        <v>554</v>
      </c>
      <c r="Y49" s="205">
        <v>22.685921476131043</v>
      </c>
      <c r="AA49" s="303">
        <v>8</v>
      </c>
      <c r="AB49" s="113" t="s">
        <v>639</v>
      </c>
      <c r="AC49" s="205">
        <v>6.2116609680167301E-2</v>
      </c>
      <c r="AD49" s="205">
        <f t="shared" si="2"/>
        <v>62.116609680167301</v>
      </c>
      <c r="AF49" s="303">
        <v>17</v>
      </c>
      <c r="AG49" s="113" t="s">
        <v>554</v>
      </c>
      <c r="AH49" s="205">
        <v>12.672938578156918</v>
      </c>
      <c r="AJ49" s="304">
        <v>31</v>
      </c>
      <c r="AK49" s="113" t="s">
        <v>315</v>
      </c>
      <c r="AL49" s="205">
        <v>2.6065688028343689E-2</v>
      </c>
      <c r="AM49" s="205">
        <f t="shared" si="3"/>
        <v>26.06568802834369</v>
      </c>
      <c r="AO49" s="304">
        <v>31</v>
      </c>
      <c r="AP49" s="113" t="s">
        <v>315</v>
      </c>
      <c r="AQ49" s="205">
        <v>0.41004400810712105</v>
      </c>
      <c r="AS49" s="302">
        <v>1</v>
      </c>
      <c r="AT49" s="113" t="s">
        <v>577</v>
      </c>
      <c r="AU49" s="205">
        <v>7.584749157267288E-4</v>
      </c>
      <c r="AV49" s="205">
        <f t="shared" si="4"/>
        <v>0.75847491572672876</v>
      </c>
      <c r="AX49" s="306">
        <v>51</v>
      </c>
      <c r="AY49" s="113" t="s">
        <v>330</v>
      </c>
      <c r="AZ49" s="205">
        <v>0.28875458699450313</v>
      </c>
      <c r="BB49" s="304">
        <v>31</v>
      </c>
      <c r="BC49" s="113" t="s">
        <v>315</v>
      </c>
      <c r="BD49" s="206">
        <v>4.8218500315579094E-4</v>
      </c>
      <c r="BE49" s="205">
        <f t="shared" si="5"/>
        <v>0.48218500315579094</v>
      </c>
      <c r="BG49" s="307">
        <v>55</v>
      </c>
      <c r="BH49" s="113" t="s">
        <v>50</v>
      </c>
      <c r="BI49" s="205">
        <v>2.9340918722897926E-2</v>
      </c>
      <c r="BK49" s="307">
        <v>57</v>
      </c>
      <c r="BL49" s="113" t="s">
        <v>641</v>
      </c>
      <c r="BM49" s="206">
        <v>6.1826903427275468E-5</v>
      </c>
      <c r="BN49" s="205">
        <f t="shared" si="6"/>
        <v>6.1826903427275468E-2</v>
      </c>
      <c r="BP49" s="303">
        <v>9</v>
      </c>
      <c r="BQ49" s="113" t="s">
        <v>640</v>
      </c>
      <c r="BR49" s="205">
        <v>344.76202168531756</v>
      </c>
      <c r="BT49" s="307">
        <v>54</v>
      </c>
      <c r="BU49" s="113" t="s">
        <v>49</v>
      </c>
      <c r="BV49" s="205">
        <v>0.71333485664632257</v>
      </c>
      <c r="BW49" s="205">
        <f t="shared" si="7"/>
        <v>713.33485664632258</v>
      </c>
      <c r="BY49" s="303">
        <v>17</v>
      </c>
      <c r="BZ49" s="113" t="s">
        <v>554</v>
      </c>
      <c r="CA49" s="205">
        <v>1.2829997163739795</v>
      </c>
      <c r="CC49" s="303">
        <v>18</v>
      </c>
      <c r="CD49" s="113" t="s">
        <v>578</v>
      </c>
      <c r="CE49" s="206">
        <v>4.5715964299203092E-3</v>
      </c>
      <c r="CF49" s="205">
        <f t="shared" si="8"/>
        <v>4.5715964299203096</v>
      </c>
      <c r="CH49" s="303">
        <v>15</v>
      </c>
      <c r="CI49" s="113" t="s">
        <v>458</v>
      </c>
      <c r="CJ49" s="205">
        <v>145.80510610919703</v>
      </c>
      <c r="CL49" s="303">
        <v>6</v>
      </c>
      <c r="CM49" s="113" t="s">
        <v>637</v>
      </c>
      <c r="CN49" s="206">
        <v>0.36602951921283067</v>
      </c>
      <c r="CO49" s="205">
        <f t="shared" si="9"/>
        <v>366.02951921283068</v>
      </c>
      <c r="CQ49" s="306">
        <v>53</v>
      </c>
      <c r="CR49" s="113" t="s">
        <v>333</v>
      </c>
      <c r="CS49" s="205">
        <v>3.6692978895828592</v>
      </c>
      <c r="CU49" s="304">
        <v>28</v>
      </c>
      <c r="CV49" s="113" t="s">
        <v>63</v>
      </c>
      <c r="CW49" s="206">
        <v>1.5789001697268368E-2</v>
      </c>
      <c r="CX49" s="205">
        <f t="shared" si="10"/>
        <v>15.789001697268368</v>
      </c>
      <c r="CZ49" s="306">
        <v>50</v>
      </c>
      <c r="DA49" s="113" t="s">
        <v>423</v>
      </c>
      <c r="DB49" s="205">
        <f>('nutrient content'!AA52/9)/calculations!C55</f>
        <v>0.72565599711147677</v>
      </c>
      <c r="DD49" s="306">
        <v>51</v>
      </c>
      <c r="DE49" s="113" t="s">
        <v>330</v>
      </c>
      <c r="DF49" s="206">
        <v>3.4955371917394641E-3</v>
      </c>
      <c r="DG49" s="205">
        <f t="shared" si="11"/>
        <v>3.495537191739464</v>
      </c>
      <c r="DI49" s="306">
        <v>53</v>
      </c>
      <c r="DJ49" s="113" t="s">
        <v>333</v>
      </c>
      <c r="DK49" s="205">
        <v>2.0959065340434568</v>
      </c>
      <c r="DM49" s="304">
        <v>29</v>
      </c>
      <c r="DN49" s="113" t="s">
        <v>615</v>
      </c>
      <c r="DO49" s="206">
        <v>6.6768481666347641E-3</v>
      </c>
      <c r="DP49" s="205">
        <f t="shared" si="12"/>
        <v>6.6768481666347643</v>
      </c>
    </row>
    <row r="50" spans="1:120" s="204" customFormat="1" x14ac:dyDescent="0.2">
      <c r="A50" s="307">
        <v>55</v>
      </c>
      <c r="B50" s="308" t="s">
        <v>50</v>
      </c>
      <c r="C50" s="309">
        <v>203.35878193214253</v>
      </c>
      <c r="E50" s="303">
        <v>13</v>
      </c>
      <c r="F50" s="113" t="s">
        <v>565</v>
      </c>
      <c r="G50" s="205">
        <v>41.165343951108468</v>
      </c>
      <c r="I50" s="307">
        <v>58</v>
      </c>
      <c r="J50" s="113" t="s">
        <v>326</v>
      </c>
      <c r="K50" s="205">
        <v>9.6582946891379917E-2</v>
      </c>
      <c r="L50" s="205">
        <f t="shared" si="0"/>
        <v>96.582946891379919</v>
      </c>
      <c r="N50" s="307">
        <v>56</v>
      </c>
      <c r="O50" s="113" t="s">
        <v>51</v>
      </c>
      <c r="P50" s="205">
        <v>0.16004994275810927</v>
      </c>
      <c r="R50" s="303">
        <v>7</v>
      </c>
      <c r="S50" s="113" t="s">
        <v>638</v>
      </c>
      <c r="T50" s="205">
        <v>4.0433437629695503E-4</v>
      </c>
      <c r="U50" s="205">
        <f t="shared" si="1"/>
        <v>0.40433437629695501</v>
      </c>
      <c r="W50" s="303">
        <v>6</v>
      </c>
      <c r="X50" s="113" t="s">
        <v>637</v>
      </c>
      <c r="Y50" s="205">
        <v>19.396054636051574</v>
      </c>
      <c r="AA50" s="306">
        <v>42</v>
      </c>
      <c r="AB50" s="113" t="s">
        <v>230</v>
      </c>
      <c r="AC50" s="205">
        <v>4.8976591681340498E-2</v>
      </c>
      <c r="AD50" s="205">
        <f t="shared" si="2"/>
        <v>48.976591681340494</v>
      </c>
      <c r="AF50" s="307">
        <v>56</v>
      </c>
      <c r="AG50" s="113" t="s">
        <v>51</v>
      </c>
      <c r="AH50" s="205">
        <v>11.096576632374536</v>
      </c>
      <c r="AJ50" s="307">
        <v>58</v>
      </c>
      <c r="AK50" s="113" t="s">
        <v>326</v>
      </c>
      <c r="AL50" s="205">
        <v>2.0931868771512343E-2</v>
      </c>
      <c r="AM50" s="205">
        <f t="shared" si="3"/>
        <v>20.931868771512342</v>
      </c>
      <c r="AO50" s="304">
        <v>35</v>
      </c>
      <c r="AP50" s="113" t="s">
        <v>563</v>
      </c>
      <c r="AQ50" s="205">
        <v>0.38557262294894201</v>
      </c>
      <c r="AS50" s="303">
        <v>7</v>
      </c>
      <c r="AT50" s="113" t="s">
        <v>638</v>
      </c>
      <c r="AU50" s="205">
        <v>5.5667565763528029E-4</v>
      </c>
      <c r="AV50" s="205">
        <f t="shared" si="4"/>
        <v>0.55667565763528026</v>
      </c>
      <c r="AX50" s="302">
        <v>4</v>
      </c>
      <c r="AY50" s="113" t="s">
        <v>36</v>
      </c>
      <c r="AZ50" s="205">
        <v>0.27832440505368305</v>
      </c>
      <c r="BB50" s="302">
        <v>4</v>
      </c>
      <c r="BC50" s="113" t="s">
        <v>36</v>
      </c>
      <c r="BD50" s="206">
        <v>4.7995576729889164E-4</v>
      </c>
      <c r="BE50" s="205">
        <f t="shared" si="5"/>
        <v>0.47995576729889167</v>
      </c>
      <c r="BG50" s="306">
        <v>51</v>
      </c>
      <c r="BH50" s="113" t="s">
        <v>330</v>
      </c>
      <c r="BI50" s="205">
        <v>2.7172148133357121E-2</v>
      </c>
      <c r="BK50" s="304">
        <v>31</v>
      </c>
      <c r="BL50" s="113" t="s">
        <v>315</v>
      </c>
      <c r="BM50" s="206">
        <v>5.2947651773036902E-5</v>
      </c>
      <c r="BN50" s="205">
        <f t="shared" si="6"/>
        <v>5.2947651773036904E-2</v>
      </c>
      <c r="BP50" s="303">
        <v>15</v>
      </c>
      <c r="BQ50" s="113" t="s">
        <v>458</v>
      </c>
      <c r="BR50" s="205">
        <v>342.45899102373602</v>
      </c>
      <c r="BT50" s="303">
        <v>18</v>
      </c>
      <c r="BU50" s="113" t="s">
        <v>578</v>
      </c>
      <c r="BV50" s="205">
        <v>0.66879445865048925</v>
      </c>
      <c r="BW50" s="205">
        <f t="shared" si="7"/>
        <v>668.79445865048922</v>
      </c>
      <c r="BY50" s="306">
        <v>51</v>
      </c>
      <c r="BZ50" s="113" t="s">
        <v>330</v>
      </c>
      <c r="CA50" s="205">
        <v>1.2463371945548725</v>
      </c>
      <c r="CC50" s="306">
        <v>43</v>
      </c>
      <c r="CD50" s="113" t="s">
        <v>332</v>
      </c>
      <c r="CE50" s="206">
        <v>4.0928858041124391E-3</v>
      </c>
      <c r="CF50" s="205">
        <f t="shared" si="8"/>
        <v>4.0928858041124387</v>
      </c>
      <c r="CH50" s="306">
        <v>44</v>
      </c>
      <c r="CI50" s="113" t="s">
        <v>176</v>
      </c>
      <c r="CJ50" s="205">
        <v>145.48827945297481</v>
      </c>
      <c r="CL50" s="303">
        <v>9</v>
      </c>
      <c r="CM50" s="113" t="s">
        <v>640</v>
      </c>
      <c r="CN50" s="206">
        <v>0.3601778211369932</v>
      </c>
      <c r="CO50" s="205">
        <f t="shared" si="9"/>
        <v>360.1778211369932</v>
      </c>
      <c r="CQ50" s="305">
        <v>41</v>
      </c>
      <c r="CR50" s="113" t="s">
        <v>584</v>
      </c>
      <c r="CS50" s="205">
        <v>3.4450546061735721</v>
      </c>
      <c r="CU50" s="306">
        <v>51</v>
      </c>
      <c r="CV50" s="113" t="s">
        <v>330</v>
      </c>
      <c r="CW50" s="206">
        <v>1.559146587925838E-2</v>
      </c>
      <c r="CX50" s="205">
        <f t="shared" si="10"/>
        <v>15.591465879258379</v>
      </c>
      <c r="CZ50" s="305">
        <v>41</v>
      </c>
      <c r="DA50" s="113" t="s">
        <v>584</v>
      </c>
      <c r="DB50" s="205">
        <f>('nutrient content'!AA43/9)/calculations!C46</f>
        <v>0.44159589582602893</v>
      </c>
      <c r="DD50" s="304">
        <v>27</v>
      </c>
      <c r="DE50" s="113" t="s">
        <v>457</v>
      </c>
      <c r="DF50" s="206">
        <v>3.082007970758395E-3</v>
      </c>
      <c r="DG50" s="205">
        <f t="shared" si="11"/>
        <v>3.0820079707583949</v>
      </c>
      <c r="DI50" s="306">
        <v>51</v>
      </c>
      <c r="DJ50" s="113" t="s">
        <v>330</v>
      </c>
      <c r="DK50" s="205">
        <v>1.6567171908299925</v>
      </c>
      <c r="DM50" s="307">
        <v>55</v>
      </c>
      <c r="DN50" s="113" t="s">
        <v>50</v>
      </c>
      <c r="DO50" s="206">
        <v>3.7083464034531701E-3</v>
      </c>
      <c r="DP50" s="205">
        <f t="shared" si="12"/>
        <v>3.7083464034531701</v>
      </c>
    </row>
    <row r="51" spans="1:120" s="204" customFormat="1" x14ac:dyDescent="0.2">
      <c r="A51" s="305">
        <v>38</v>
      </c>
      <c r="B51" s="308" t="s">
        <v>605</v>
      </c>
      <c r="C51" s="309">
        <v>191.35766050886264</v>
      </c>
      <c r="E51" s="307">
        <v>55</v>
      </c>
      <c r="F51" s="113" t="s">
        <v>50</v>
      </c>
      <c r="G51" s="205">
        <v>39.716971270757838</v>
      </c>
      <c r="I51" s="304">
        <v>30</v>
      </c>
      <c r="J51" s="113" t="s">
        <v>322</v>
      </c>
      <c r="K51" s="205">
        <v>8.7188498510968618E-2</v>
      </c>
      <c r="L51" s="205">
        <f t="shared" si="0"/>
        <v>87.188498510968614</v>
      </c>
      <c r="N51" s="303">
        <v>7</v>
      </c>
      <c r="O51" s="113" t="s">
        <v>638</v>
      </c>
      <c r="P51" s="205">
        <v>0.13333612870391789</v>
      </c>
      <c r="R51" s="303">
        <v>20</v>
      </c>
      <c r="S51" s="113" t="s">
        <v>579</v>
      </c>
      <c r="T51" s="205">
        <v>3.6307225019456145E-4</v>
      </c>
      <c r="U51" s="205">
        <f t="shared" si="1"/>
        <v>0.36307225019456146</v>
      </c>
      <c r="W51" s="303">
        <v>11</v>
      </c>
      <c r="X51" s="113" t="s">
        <v>564</v>
      </c>
      <c r="Y51" s="205">
        <v>19.25713834825169</v>
      </c>
      <c r="AA51" s="307">
        <v>57</v>
      </c>
      <c r="AB51" s="113" t="s">
        <v>641</v>
      </c>
      <c r="AC51" s="205">
        <v>4.5892412185107326E-2</v>
      </c>
      <c r="AD51" s="205">
        <f t="shared" si="2"/>
        <v>45.892412185107325</v>
      </c>
      <c r="AF51" s="305">
        <v>40</v>
      </c>
      <c r="AG51" s="113" t="s">
        <v>606</v>
      </c>
      <c r="AH51" s="205">
        <v>10.886510939893769</v>
      </c>
      <c r="AJ51" s="307">
        <v>56</v>
      </c>
      <c r="AK51" s="113" t="s">
        <v>51</v>
      </c>
      <c r="AL51" s="205">
        <v>1.9693178031292391E-2</v>
      </c>
      <c r="AM51" s="205">
        <f t="shared" si="3"/>
        <v>19.693178031292391</v>
      </c>
      <c r="AO51" s="303">
        <v>8</v>
      </c>
      <c r="AP51" s="113" t="s">
        <v>639</v>
      </c>
      <c r="AQ51" s="205">
        <v>0.37910266021607975</v>
      </c>
      <c r="AS51" s="304">
        <v>35</v>
      </c>
      <c r="AT51" s="113" t="s">
        <v>563</v>
      </c>
      <c r="AU51" s="205">
        <v>4.2071016743250187E-4</v>
      </c>
      <c r="AV51" s="205">
        <f t="shared" si="4"/>
        <v>0.42071016743250189</v>
      </c>
      <c r="AX51" s="303">
        <v>10</v>
      </c>
      <c r="AY51" s="113" t="s">
        <v>642</v>
      </c>
      <c r="AZ51" s="205">
        <v>0.27520235355477274</v>
      </c>
      <c r="BB51" s="304">
        <v>36</v>
      </c>
      <c r="BC51" s="113" t="s">
        <v>582</v>
      </c>
      <c r="BD51" s="206">
        <v>4.6167670896974722E-4</v>
      </c>
      <c r="BE51" s="205">
        <f t="shared" si="5"/>
        <v>0.46167670896974722</v>
      </c>
      <c r="BG51" s="307">
        <v>56</v>
      </c>
      <c r="BH51" s="113" t="s">
        <v>51</v>
      </c>
      <c r="BI51" s="205">
        <v>2.2233637986227701E-2</v>
      </c>
      <c r="BK51" s="307">
        <v>56</v>
      </c>
      <c r="BL51" s="113" t="s">
        <v>51</v>
      </c>
      <c r="BM51" s="206">
        <v>3.945820460236775E-5</v>
      </c>
      <c r="BN51" s="205">
        <f t="shared" si="6"/>
        <v>3.945820460236775E-2</v>
      </c>
      <c r="BP51" s="304">
        <v>35</v>
      </c>
      <c r="BQ51" s="113" t="s">
        <v>563</v>
      </c>
      <c r="BR51" s="205">
        <v>328.41153348547573</v>
      </c>
      <c r="BT51" s="302">
        <v>3</v>
      </c>
      <c r="BU51" s="113" t="s">
        <v>29</v>
      </c>
      <c r="BV51" s="205">
        <v>0.56319372651749045</v>
      </c>
      <c r="BW51" s="205">
        <f t="shared" si="7"/>
        <v>563.1937265174904</v>
      </c>
      <c r="BY51" s="305">
        <v>41</v>
      </c>
      <c r="BZ51" s="113" t="s">
        <v>584</v>
      </c>
      <c r="CA51" s="205">
        <v>1.1905644042739278</v>
      </c>
      <c r="CC51" s="304">
        <v>30</v>
      </c>
      <c r="CD51" s="113" t="s">
        <v>322</v>
      </c>
      <c r="CE51" s="206">
        <v>3.7986418894808915E-3</v>
      </c>
      <c r="CF51" s="205">
        <f t="shared" si="8"/>
        <v>3.7986418894808915</v>
      </c>
      <c r="CH51" s="303">
        <v>11</v>
      </c>
      <c r="CI51" s="113" t="s">
        <v>564</v>
      </c>
      <c r="CJ51" s="205">
        <v>121.71644590118061</v>
      </c>
      <c r="CL51" s="303">
        <v>15</v>
      </c>
      <c r="CM51" s="113" t="s">
        <v>458</v>
      </c>
      <c r="CN51" s="206">
        <v>0.33286818301115434</v>
      </c>
      <c r="CO51" s="205">
        <f t="shared" si="9"/>
        <v>332.86818301115431</v>
      </c>
      <c r="CQ51" s="306">
        <v>50</v>
      </c>
      <c r="CR51" s="113" t="s">
        <v>423</v>
      </c>
      <c r="CS51" s="205">
        <v>3.3530334808272828</v>
      </c>
      <c r="CU51" s="304">
        <v>31</v>
      </c>
      <c r="CV51" s="113" t="s">
        <v>315</v>
      </c>
      <c r="CW51" s="206">
        <v>1.1971591542661569E-2</v>
      </c>
      <c r="CX51" s="205">
        <f t="shared" si="10"/>
        <v>11.971591542661569</v>
      </c>
      <c r="CZ51" s="303">
        <v>22</v>
      </c>
      <c r="DA51" s="113" t="s">
        <v>430</v>
      </c>
      <c r="DB51" s="205">
        <f>('nutrient content'!AA24/9)/calculations!C27</f>
        <v>0.30955134408676244</v>
      </c>
      <c r="DD51" s="304">
        <v>31</v>
      </c>
      <c r="DE51" s="113" t="s">
        <v>315</v>
      </c>
      <c r="DF51" s="206">
        <v>2.5127869586330539E-3</v>
      </c>
      <c r="DG51" s="205">
        <f t="shared" si="11"/>
        <v>2.512786958633054</v>
      </c>
      <c r="DI51" s="307">
        <v>55</v>
      </c>
      <c r="DJ51" s="113" t="s">
        <v>50</v>
      </c>
      <c r="DK51" s="205">
        <v>0.75412480758867828</v>
      </c>
      <c r="DM51" s="304">
        <v>35</v>
      </c>
      <c r="DN51" s="113" t="s">
        <v>563</v>
      </c>
      <c r="DO51" s="206">
        <v>2.9615446546739101E-3</v>
      </c>
      <c r="DP51" s="205">
        <f t="shared" si="12"/>
        <v>2.9615446546739101</v>
      </c>
    </row>
    <row r="52" spans="1:120" s="204" customFormat="1" x14ac:dyDescent="0.2">
      <c r="A52" s="303">
        <v>11</v>
      </c>
      <c r="B52" s="308" t="s">
        <v>564</v>
      </c>
      <c r="C52" s="309">
        <v>190.22351649683185</v>
      </c>
      <c r="E52" s="305">
        <v>38</v>
      </c>
      <c r="F52" s="113" t="s">
        <v>605</v>
      </c>
      <c r="G52" s="205">
        <v>39.697690122364364</v>
      </c>
      <c r="I52" s="303">
        <v>6</v>
      </c>
      <c r="J52" s="113" t="s">
        <v>637</v>
      </c>
      <c r="K52" s="205">
        <v>8.6731376929322146E-2</v>
      </c>
      <c r="L52" s="205">
        <f t="shared" si="0"/>
        <v>86.731376929322153</v>
      </c>
      <c r="N52" s="307">
        <v>57</v>
      </c>
      <c r="O52" s="113" t="s">
        <v>641</v>
      </c>
      <c r="P52" s="205">
        <v>0.105081176436885</v>
      </c>
      <c r="R52" s="307">
        <v>56</v>
      </c>
      <c r="S52" s="113" t="s">
        <v>51</v>
      </c>
      <c r="T52" s="205">
        <v>2.8404183750129565E-4</v>
      </c>
      <c r="U52" s="205">
        <f t="shared" si="1"/>
        <v>0.28404183750129564</v>
      </c>
      <c r="W52" s="302">
        <v>3</v>
      </c>
      <c r="X52" s="113" t="s">
        <v>29</v>
      </c>
      <c r="Y52" s="205">
        <v>18.928716768298809</v>
      </c>
      <c r="AA52" s="304">
        <v>30</v>
      </c>
      <c r="AB52" s="113" t="s">
        <v>322</v>
      </c>
      <c r="AC52" s="205">
        <v>4.4835447416476375E-2</v>
      </c>
      <c r="AD52" s="205">
        <f t="shared" si="2"/>
        <v>44.835447416476377</v>
      </c>
      <c r="AF52" s="303">
        <v>22</v>
      </c>
      <c r="AG52" s="113" t="s">
        <v>430</v>
      </c>
      <c r="AH52" s="205">
        <v>10.854770124309823</v>
      </c>
      <c r="AJ52" s="304">
        <v>25</v>
      </c>
      <c r="AK52" s="113" t="s">
        <v>602</v>
      </c>
      <c r="AL52" s="205">
        <v>1.5718316407383477E-2</v>
      </c>
      <c r="AM52" s="205">
        <f t="shared" si="3"/>
        <v>15.718316407383478</v>
      </c>
      <c r="AO52" s="304">
        <v>26</v>
      </c>
      <c r="AP52" s="113" t="s">
        <v>329</v>
      </c>
      <c r="AQ52" s="205">
        <v>0.28987649967643975</v>
      </c>
      <c r="AS52" s="304">
        <v>25</v>
      </c>
      <c r="AT52" s="113" t="s">
        <v>602</v>
      </c>
      <c r="AU52" s="205">
        <v>3.3929956793417738E-4</v>
      </c>
      <c r="AV52" s="205">
        <f t="shared" si="4"/>
        <v>0.33929956793417737</v>
      </c>
      <c r="AX52" s="304">
        <v>34</v>
      </c>
      <c r="AY52" s="113" t="s">
        <v>604</v>
      </c>
      <c r="AZ52" s="205">
        <v>0.26692344116023969</v>
      </c>
      <c r="BB52" s="307">
        <v>54</v>
      </c>
      <c r="BC52" s="113" t="s">
        <v>49</v>
      </c>
      <c r="BD52" s="206">
        <v>4.3006805349214358E-4</v>
      </c>
      <c r="BE52" s="205">
        <f t="shared" si="5"/>
        <v>0.43006805349214355</v>
      </c>
      <c r="BG52" s="304">
        <v>34</v>
      </c>
      <c r="BH52" s="113" t="s">
        <v>604</v>
      </c>
      <c r="BI52" s="205">
        <v>1.4243400671205953E-2</v>
      </c>
      <c r="BK52" s="306">
        <v>42</v>
      </c>
      <c r="BL52" s="113" t="s">
        <v>230</v>
      </c>
      <c r="BM52" s="206">
        <v>3.3770080318498777E-5</v>
      </c>
      <c r="BN52" s="205">
        <f t="shared" si="6"/>
        <v>3.3770080318498777E-2</v>
      </c>
      <c r="BP52" s="303">
        <v>11</v>
      </c>
      <c r="BQ52" s="113" t="s">
        <v>564</v>
      </c>
      <c r="BR52" s="205">
        <v>304.33393579736963</v>
      </c>
      <c r="BT52" s="304">
        <v>26</v>
      </c>
      <c r="BU52" s="113" t="s">
        <v>329</v>
      </c>
      <c r="BV52" s="205">
        <v>0.47114583293599788</v>
      </c>
      <c r="BW52" s="205">
        <f t="shared" si="7"/>
        <v>471.14583293599787</v>
      </c>
      <c r="BY52" s="307">
        <v>58</v>
      </c>
      <c r="BZ52" s="113" t="s">
        <v>326</v>
      </c>
      <c r="CA52" s="205">
        <v>1.1281710944764682</v>
      </c>
      <c r="CC52" s="305">
        <v>41</v>
      </c>
      <c r="CD52" s="113" t="s">
        <v>584</v>
      </c>
      <c r="CE52" s="206">
        <v>3.5798979217266658E-3</v>
      </c>
      <c r="CF52" s="205">
        <f t="shared" si="8"/>
        <v>3.5798979217266655</v>
      </c>
      <c r="CH52" s="307">
        <v>56</v>
      </c>
      <c r="CI52" s="113" t="s">
        <v>51</v>
      </c>
      <c r="CJ52" s="205">
        <v>111.50739663436494</v>
      </c>
      <c r="CL52" s="307">
        <v>55</v>
      </c>
      <c r="CM52" s="113" t="s">
        <v>50</v>
      </c>
      <c r="CN52" s="206">
        <v>0.30020755417482203</v>
      </c>
      <c r="CO52" s="205">
        <f t="shared" si="9"/>
        <v>300.20755417482201</v>
      </c>
      <c r="CQ52" s="303">
        <v>13</v>
      </c>
      <c r="CR52" s="113" t="s">
        <v>565</v>
      </c>
      <c r="CS52" s="205">
        <v>1.919983489269866</v>
      </c>
      <c r="CU52" s="304">
        <v>30</v>
      </c>
      <c r="CV52" s="113" t="s">
        <v>322</v>
      </c>
      <c r="CW52" s="206">
        <v>1.091171293282636E-2</v>
      </c>
      <c r="CX52" s="205">
        <f t="shared" si="10"/>
        <v>10.91171293282636</v>
      </c>
      <c r="CZ52" s="303">
        <v>13</v>
      </c>
      <c r="DA52" s="113" t="s">
        <v>565</v>
      </c>
      <c r="DB52" s="205">
        <f>('nutrient content'!AA15/9)/calculations!C18</f>
        <v>0.28865261762451255</v>
      </c>
      <c r="DD52" s="304">
        <v>30</v>
      </c>
      <c r="DE52" s="113" t="s">
        <v>322</v>
      </c>
      <c r="DF52" s="206">
        <v>1.9577840192317479E-3</v>
      </c>
      <c r="DG52" s="205">
        <f t="shared" si="11"/>
        <v>1.9577840192317479</v>
      </c>
      <c r="DI52" s="307">
        <v>56</v>
      </c>
      <c r="DJ52" s="113" t="s">
        <v>51</v>
      </c>
      <c r="DK52" s="205">
        <v>0.13093060728397388</v>
      </c>
      <c r="DM52" s="305">
        <v>41</v>
      </c>
      <c r="DN52" s="113" t="s">
        <v>584</v>
      </c>
      <c r="DO52" s="206">
        <v>2.5955393756502788E-4</v>
      </c>
      <c r="DP52" s="205">
        <f t="shared" si="12"/>
        <v>0.25955393756502787</v>
      </c>
    </row>
    <row r="53" spans="1:120" s="204" customFormat="1" x14ac:dyDescent="0.2">
      <c r="A53" s="303">
        <v>9</v>
      </c>
      <c r="B53" s="308" t="s">
        <v>640</v>
      </c>
      <c r="C53" s="309">
        <v>180.17065243333815</v>
      </c>
      <c r="E53" s="303">
        <v>8</v>
      </c>
      <c r="F53" s="113" t="s">
        <v>639</v>
      </c>
      <c r="G53" s="205">
        <v>39.595649144709782</v>
      </c>
      <c r="I53" s="304">
        <v>31</v>
      </c>
      <c r="J53" s="113" t="s">
        <v>315</v>
      </c>
      <c r="K53" s="205">
        <v>7.8363186972605442E-2</v>
      </c>
      <c r="L53" s="205">
        <f t="shared" si="0"/>
        <v>78.363186972605448</v>
      </c>
      <c r="N53" s="303">
        <v>19</v>
      </c>
      <c r="O53" s="113" t="s">
        <v>555</v>
      </c>
      <c r="P53" s="205">
        <v>7.3032826599043671E-2</v>
      </c>
      <c r="R53" s="303">
        <v>19</v>
      </c>
      <c r="S53" s="113" t="s">
        <v>555</v>
      </c>
      <c r="T53" s="205">
        <v>2.6505918005554019E-4</v>
      </c>
      <c r="U53" s="205">
        <f t="shared" si="1"/>
        <v>0.26505918005554019</v>
      </c>
      <c r="W53" s="307">
        <v>58</v>
      </c>
      <c r="X53" s="113" t="s">
        <v>326</v>
      </c>
      <c r="Y53" s="205">
        <v>14.169020766540902</v>
      </c>
      <c r="AA53" s="303">
        <v>9</v>
      </c>
      <c r="AB53" s="113" t="s">
        <v>640</v>
      </c>
      <c r="AC53" s="205">
        <v>4.3666532259993222E-2</v>
      </c>
      <c r="AD53" s="205">
        <f t="shared" si="2"/>
        <v>43.666532259993225</v>
      </c>
      <c r="AF53" s="306">
        <v>42</v>
      </c>
      <c r="AG53" s="113" t="s">
        <v>230</v>
      </c>
      <c r="AH53" s="205">
        <v>9.9311524300934391</v>
      </c>
      <c r="AJ53" s="304">
        <v>35</v>
      </c>
      <c r="AK53" s="113" t="s">
        <v>563</v>
      </c>
      <c r="AL53" s="205">
        <v>1.4973079985943123E-2</v>
      </c>
      <c r="AM53" s="205">
        <f t="shared" si="3"/>
        <v>14.973079985943123</v>
      </c>
      <c r="AO53" s="304">
        <v>34</v>
      </c>
      <c r="AP53" s="113" t="s">
        <v>604</v>
      </c>
      <c r="AQ53" s="205">
        <v>0.24532790023529735</v>
      </c>
      <c r="AS53" s="304">
        <v>34</v>
      </c>
      <c r="AT53" s="113" t="s">
        <v>604</v>
      </c>
      <c r="AU53" s="205">
        <v>3.0534479287901731E-4</v>
      </c>
      <c r="AV53" s="205">
        <f t="shared" si="4"/>
        <v>0.30534479287901728</v>
      </c>
      <c r="AX53" s="305">
        <v>39</v>
      </c>
      <c r="AY53" s="113" t="s">
        <v>583</v>
      </c>
      <c r="AZ53" s="205">
        <v>0.2446593495755307</v>
      </c>
      <c r="BB53" s="304">
        <v>35</v>
      </c>
      <c r="BC53" s="113" t="s">
        <v>563</v>
      </c>
      <c r="BD53" s="206">
        <v>3.9161859405099572E-4</v>
      </c>
      <c r="BE53" s="205">
        <f t="shared" si="5"/>
        <v>0.39161859405099575</v>
      </c>
      <c r="BG53" s="307">
        <v>57</v>
      </c>
      <c r="BH53" s="113" t="s">
        <v>641</v>
      </c>
      <c r="BI53" s="205">
        <v>5.9977123736196002E-3</v>
      </c>
      <c r="BK53" s="304">
        <v>34</v>
      </c>
      <c r="BL53" s="113" t="s">
        <v>604</v>
      </c>
      <c r="BM53" s="206">
        <v>1.7727898961638326E-5</v>
      </c>
      <c r="BN53" s="205">
        <f t="shared" si="6"/>
        <v>1.7727898961638327E-2</v>
      </c>
      <c r="BP53" s="303">
        <v>17</v>
      </c>
      <c r="BQ53" s="113" t="s">
        <v>554</v>
      </c>
      <c r="BR53" s="205">
        <v>300.51937643338618</v>
      </c>
      <c r="BT53" s="304">
        <v>34</v>
      </c>
      <c r="BU53" s="113" t="s">
        <v>604</v>
      </c>
      <c r="BV53" s="205">
        <v>0.43637116987869456</v>
      </c>
      <c r="BW53" s="205">
        <f t="shared" si="7"/>
        <v>436.37116987869456</v>
      </c>
      <c r="BY53" s="303">
        <v>13</v>
      </c>
      <c r="BZ53" s="113" t="s">
        <v>565</v>
      </c>
      <c r="CA53" s="205">
        <v>0.96920131679411525</v>
      </c>
      <c r="CC53" s="306">
        <v>42</v>
      </c>
      <c r="CD53" s="113" t="s">
        <v>230</v>
      </c>
      <c r="CE53" s="206">
        <v>2.9850216623957945E-3</v>
      </c>
      <c r="CF53" s="205">
        <f t="shared" si="8"/>
        <v>2.9850216623957944</v>
      </c>
      <c r="CH53" s="303">
        <v>22</v>
      </c>
      <c r="CI53" s="113" t="s">
        <v>430</v>
      </c>
      <c r="CJ53" s="205">
        <v>88.90267306248353</v>
      </c>
      <c r="CL53" s="303">
        <v>14</v>
      </c>
      <c r="CM53" s="113" t="s">
        <v>456</v>
      </c>
      <c r="CN53" s="206">
        <v>0.29873518860558007</v>
      </c>
      <c r="CO53" s="205">
        <f t="shared" si="9"/>
        <v>298.73518860558005</v>
      </c>
      <c r="CQ53" s="303">
        <v>22</v>
      </c>
      <c r="CR53" s="113" t="s">
        <v>430</v>
      </c>
      <c r="CS53" s="205">
        <v>1.526407538749156</v>
      </c>
      <c r="CU53" s="305">
        <v>41</v>
      </c>
      <c r="CV53" s="113" t="s">
        <v>584</v>
      </c>
      <c r="CW53" s="206">
        <v>1.0358905222264696E-2</v>
      </c>
      <c r="CX53" s="205">
        <f t="shared" si="10"/>
        <v>10.358905222264696</v>
      </c>
      <c r="CZ53" s="306">
        <v>51</v>
      </c>
      <c r="DA53" s="113" t="s">
        <v>330</v>
      </c>
      <c r="DB53" s="205">
        <f>('nutrient content'!AA53/9)/calculations!C56</f>
        <v>0.20126278180923621</v>
      </c>
      <c r="DD53" s="305">
        <v>41</v>
      </c>
      <c r="DE53" s="113" t="s">
        <v>584</v>
      </c>
      <c r="DF53" s="206">
        <v>1.9258609233100581E-3</v>
      </c>
      <c r="DG53" s="205">
        <f t="shared" si="11"/>
        <v>1.9258609233100581</v>
      </c>
      <c r="DI53" s="305">
        <v>41</v>
      </c>
      <c r="DJ53" s="113" t="s">
        <v>584</v>
      </c>
      <c r="DK53" s="205">
        <v>8.6319690061166451E-2</v>
      </c>
      <c r="DM53" s="307">
        <v>56</v>
      </c>
      <c r="DN53" s="113" t="s">
        <v>51</v>
      </c>
      <c r="DO53" s="206">
        <v>2.3236353376462652E-4</v>
      </c>
      <c r="DP53" s="205">
        <f t="shared" si="12"/>
        <v>0.23236353376462651</v>
      </c>
    </row>
    <row r="54" spans="1:120" s="204" customFormat="1" x14ac:dyDescent="0.2">
      <c r="A54" s="306">
        <v>50</v>
      </c>
      <c r="B54" s="308" t="s">
        <v>423</v>
      </c>
      <c r="C54" s="309">
        <v>168.7608748710104</v>
      </c>
      <c r="E54" s="306">
        <v>51</v>
      </c>
      <c r="F54" s="113" t="s">
        <v>330</v>
      </c>
      <c r="G54" s="205">
        <v>38.496462547713882</v>
      </c>
      <c r="I54" s="303">
        <v>18</v>
      </c>
      <c r="J54" s="113" t="s">
        <v>578</v>
      </c>
      <c r="K54" s="205">
        <v>7.5484274134662604E-2</v>
      </c>
      <c r="L54" s="205">
        <f t="shared" si="0"/>
        <v>75.484274134662598</v>
      </c>
      <c r="N54" s="307">
        <v>55</v>
      </c>
      <c r="O54" s="113" t="s">
        <v>50</v>
      </c>
      <c r="P54" s="205">
        <v>5.2787568004184507E-2</v>
      </c>
      <c r="R54" s="307">
        <v>55</v>
      </c>
      <c r="S54" s="113" t="s">
        <v>50</v>
      </c>
      <c r="T54" s="205">
        <v>2.595785021066798E-4</v>
      </c>
      <c r="U54" s="205">
        <f t="shared" si="1"/>
        <v>0.25957850210667982</v>
      </c>
      <c r="W54" s="303">
        <v>7</v>
      </c>
      <c r="X54" s="113" t="s">
        <v>638</v>
      </c>
      <c r="Y54" s="205">
        <v>12.502417879278346</v>
      </c>
      <c r="AA54" s="302">
        <v>3</v>
      </c>
      <c r="AB54" s="113" t="s">
        <v>29</v>
      </c>
      <c r="AC54" s="205">
        <v>3.9522501373309635E-2</v>
      </c>
      <c r="AD54" s="205">
        <f t="shared" si="2"/>
        <v>39.522501373309638</v>
      </c>
      <c r="AF54" s="303">
        <v>19</v>
      </c>
      <c r="AG54" s="113" t="s">
        <v>555</v>
      </c>
      <c r="AH54" s="205">
        <v>8.6151708317860383</v>
      </c>
      <c r="AJ54" s="307">
        <v>55</v>
      </c>
      <c r="AK54" s="113" t="s">
        <v>50</v>
      </c>
      <c r="AL54" s="205">
        <v>1.2758773085892166E-2</v>
      </c>
      <c r="AM54" s="205">
        <f t="shared" si="3"/>
        <v>12.758773085892166</v>
      </c>
      <c r="AO54" s="303">
        <v>7</v>
      </c>
      <c r="AP54" s="113" t="s">
        <v>638</v>
      </c>
      <c r="AQ54" s="205">
        <v>0.18357325393051138</v>
      </c>
      <c r="AS54" s="302">
        <v>3</v>
      </c>
      <c r="AT54" s="113" t="s">
        <v>29</v>
      </c>
      <c r="AU54" s="205">
        <v>2.9040001515212777E-4</v>
      </c>
      <c r="AV54" s="205">
        <f t="shared" si="4"/>
        <v>0.29040001515212777</v>
      </c>
      <c r="AX54" s="303">
        <v>11</v>
      </c>
      <c r="AY54" s="113" t="s">
        <v>564</v>
      </c>
      <c r="AZ54" s="205">
        <v>0.19762829584257599</v>
      </c>
      <c r="BB54" s="304">
        <v>26</v>
      </c>
      <c r="BC54" s="113" t="s">
        <v>329</v>
      </c>
      <c r="BD54" s="206">
        <v>3.4442162531355032E-4</v>
      </c>
      <c r="BE54" s="205">
        <f t="shared" si="5"/>
        <v>0.34442162531355031</v>
      </c>
      <c r="BG54" s="306">
        <v>47</v>
      </c>
      <c r="BH54" s="113" t="s">
        <v>603</v>
      </c>
      <c r="BI54" s="205">
        <v>1.0054643347920035E-3</v>
      </c>
      <c r="BK54" s="306">
        <v>47</v>
      </c>
      <c r="BL54" s="113" t="s">
        <v>603</v>
      </c>
      <c r="BM54" s="206">
        <v>4.2288991441309434E-6</v>
      </c>
      <c r="BN54" s="205">
        <f t="shared" si="6"/>
        <v>4.2288991441309437E-3</v>
      </c>
      <c r="BP54" s="302">
        <v>3</v>
      </c>
      <c r="BQ54" s="113" t="s">
        <v>29</v>
      </c>
      <c r="BR54" s="205">
        <v>269.73329532557358</v>
      </c>
      <c r="BT54" s="304">
        <v>30</v>
      </c>
      <c r="BU54" s="113" t="s">
        <v>322</v>
      </c>
      <c r="BV54" s="205">
        <v>0.40461576955687795</v>
      </c>
      <c r="BW54" s="205">
        <f t="shared" si="7"/>
        <v>404.61576955687792</v>
      </c>
      <c r="BY54" s="305">
        <v>39</v>
      </c>
      <c r="BZ54" s="113" t="s">
        <v>583</v>
      </c>
      <c r="CA54" s="205">
        <v>0.9534662363855817</v>
      </c>
      <c r="CC54" s="307">
        <v>55</v>
      </c>
      <c r="CD54" s="113" t="s">
        <v>50</v>
      </c>
      <c r="CE54" s="206">
        <v>2.7269561224189426E-3</v>
      </c>
      <c r="CF54" s="205">
        <f t="shared" si="8"/>
        <v>2.7269561224189425</v>
      </c>
      <c r="CH54" s="304">
        <v>30</v>
      </c>
      <c r="CI54" s="113" t="s">
        <v>322</v>
      </c>
      <c r="CJ54" s="205">
        <v>84.242759766028286</v>
      </c>
      <c r="CL54" s="307">
        <v>58</v>
      </c>
      <c r="CM54" s="113" t="s">
        <v>326</v>
      </c>
      <c r="CN54" s="206">
        <v>0.21878385741210829</v>
      </c>
      <c r="CO54" s="205">
        <f t="shared" si="9"/>
        <v>218.78385741210829</v>
      </c>
      <c r="CQ54" s="306">
        <v>51</v>
      </c>
      <c r="CR54" s="113" t="s">
        <v>330</v>
      </c>
      <c r="CS54" s="205">
        <v>1.2354022443498922</v>
      </c>
      <c r="CU54" s="306">
        <v>46</v>
      </c>
      <c r="CV54" s="113" t="s">
        <v>535</v>
      </c>
      <c r="CW54" s="206">
        <v>9.842854107191143E-3</v>
      </c>
      <c r="CX54" s="205">
        <f t="shared" si="10"/>
        <v>9.8428541071911422</v>
      </c>
      <c r="CZ54" s="306">
        <v>47</v>
      </c>
      <c r="DA54" s="113" t="s">
        <v>603</v>
      </c>
      <c r="DB54" s="205">
        <f>('nutrient content'!AA49/9)/calculations!C52</f>
        <v>0.1599157053013745</v>
      </c>
      <c r="DD54" s="306">
        <v>46</v>
      </c>
      <c r="DE54" s="113" t="s">
        <v>535</v>
      </c>
      <c r="DF54" s="206">
        <v>1.6173474432536852E-3</v>
      </c>
      <c r="DG54" s="205">
        <f t="shared" si="11"/>
        <v>1.6173474432536852</v>
      </c>
      <c r="DI54" s="306">
        <v>47</v>
      </c>
      <c r="DJ54" s="113" t="s">
        <v>603</v>
      </c>
      <c r="DK54" s="205">
        <v>7.1818881056571662E-3</v>
      </c>
      <c r="DM54" s="306">
        <v>47</v>
      </c>
      <c r="DN54" s="113" t="s">
        <v>603</v>
      </c>
      <c r="DO54" s="206">
        <v>3.0206422458078158E-5</v>
      </c>
      <c r="DP54" s="205">
        <f t="shared" si="12"/>
        <v>3.0206422458078159E-2</v>
      </c>
    </row>
    <row r="55" spans="1:120" s="204" customFormat="1" x14ac:dyDescent="0.2">
      <c r="A55" s="305">
        <v>39</v>
      </c>
      <c r="B55" s="308" t="s">
        <v>583</v>
      </c>
      <c r="C55" s="309">
        <v>165.77797693754584</v>
      </c>
      <c r="E55" s="305">
        <v>41</v>
      </c>
      <c r="F55" s="113" t="s">
        <v>584</v>
      </c>
      <c r="G55" s="205">
        <v>35.590695175560057</v>
      </c>
      <c r="I55" s="303">
        <v>14</v>
      </c>
      <c r="J55" s="113" t="s">
        <v>456</v>
      </c>
      <c r="K55" s="205">
        <v>6.6468773699472156E-2</v>
      </c>
      <c r="L55" s="205">
        <f t="shared" si="0"/>
        <v>66.468773699472152</v>
      </c>
      <c r="N55" s="302">
        <v>3</v>
      </c>
      <c r="O55" s="113" t="s">
        <v>29</v>
      </c>
      <c r="P55" s="205">
        <v>4.2620443041162429E-2</v>
      </c>
      <c r="R55" s="303">
        <v>9</v>
      </c>
      <c r="S55" s="113" t="s">
        <v>640</v>
      </c>
      <c r="T55" s="205">
        <v>2.0477778502171439E-4</v>
      </c>
      <c r="U55" s="205">
        <f t="shared" si="1"/>
        <v>0.2047777850217144</v>
      </c>
      <c r="W55" s="303">
        <v>13</v>
      </c>
      <c r="X55" s="113" t="s">
        <v>565</v>
      </c>
      <c r="Y55" s="205">
        <v>9.5613930141337331</v>
      </c>
      <c r="AA55" s="303">
        <v>7</v>
      </c>
      <c r="AB55" s="113" t="s">
        <v>638</v>
      </c>
      <c r="AC55" s="205">
        <v>3.7912885161434644E-2</v>
      </c>
      <c r="AD55" s="205">
        <f t="shared" si="2"/>
        <v>37.912885161434644</v>
      </c>
      <c r="AF55" s="304">
        <v>30</v>
      </c>
      <c r="AG55" s="113" t="s">
        <v>322</v>
      </c>
      <c r="AH55" s="205">
        <v>5.6304026617659177</v>
      </c>
      <c r="AJ55" s="303">
        <v>7</v>
      </c>
      <c r="AK55" s="113" t="s">
        <v>638</v>
      </c>
      <c r="AL55" s="205">
        <v>1.0086392117105497E-2</v>
      </c>
      <c r="AM55" s="205">
        <f t="shared" si="3"/>
        <v>10.086392117105497</v>
      </c>
      <c r="AO55" s="303">
        <v>9</v>
      </c>
      <c r="AP55" s="113" t="s">
        <v>640</v>
      </c>
      <c r="AQ55" s="205">
        <v>0.14782917123014483</v>
      </c>
      <c r="AS55" s="304">
        <v>26</v>
      </c>
      <c r="AT55" s="113" t="s">
        <v>329</v>
      </c>
      <c r="AU55" s="205">
        <v>2.3371522233075104E-4</v>
      </c>
      <c r="AV55" s="205">
        <f t="shared" si="4"/>
        <v>0.23371522233075104</v>
      </c>
      <c r="AX55" s="302">
        <v>3</v>
      </c>
      <c r="AY55" s="113" t="s">
        <v>29</v>
      </c>
      <c r="AZ55" s="205">
        <v>0.12063908014754891</v>
      </c>
      <c r="BB55" s="304">
        <v>34</v>
      </c>
      <c r="BC55" s="113" t="s">
        <v>604</v>
      </c>
      <c r="BD55" s="206">
        <v>3.3222345594388842E-4</v>
      </c>
      <c r="BE55" s="205">
        <f t="shared" si="5"/>
        <v>0.33222345594388841</v>
      </c>
      <c r="BG55" s="305">
        <v>38</v>
      </c>
      <c r="BH55" s="113" t="s">
        <v>605</v>
      </c>
      <c r="BI55" s="205">
        <v>6.8465804120541624E-4</v>
      </c>
      <c r="BK55" s="305">
        <v>38</v>
      </c>
      <c r="BL55" s="113" t="s">
        <v>605</v>
      </c>
      <c r="BM55" s="206">
        <v>3.5778972181451111E-6</v>
      </c>
      <c r="BN55" s="205">
        <f t="shared" si="6"/>
        <v>3.5778972181451109E-3</v>
      </c>
      <c r="BP55" s="307">
        <v>58</v>
      </c>
      <c r="BQ55" s="113" t="s">
        <v>326</v>
      </c>
      <c r="BR55" s="205">
        <v>261.39806014719807</v>
      </c>
      <c r="BT55" s="304">
        <v>27</v>
      </c>
      <c r="BU55" s="113" t="s">
        <v>457</v>
      </c>
      <c r="BV55" s="205">
        <v>0.38867073293665222</v>
      </c>
      <c r="BW55" s="205">
        <f t="shared" si="7"/>
        <v>388.6707329366522</v>
      </c>
      <c r="BY55" s="302">
        <v>3</v>
      </c>
      <c r="BZ55" s="113" t="s">
        <v>29</v>
      </c>
      <c r="CA55" s="205">
        <v>0.78279055269577313</v>
      </c>
      <c r="CC55" s="307">
        <v>54</v>
      </c>
      <c r="CD55" s="113" t="s">
        <v>49</v>
      </c>
      <c r="CE55" s="206">
        <v>2.5462331788821237E-3</v>
      </c>
      <c r="CF55" s="205">
        <f t="shared" si="8"/>
        <v>2.5462331788821237</v>
      </c>
      <c r="CH55" s="306">
        <v>46</v>
      </c>
      <c r="CI55" s="113" t="s">
        <v>535</v>
      </c>
      <c r="CJ55" s="205">
        <v>72.595479744564827</v>
      </c>
      <c r="CL55" s="307">
        <v>56</v>
      </c>
      <c r="CM55" s="113" t="s">
        <v>51</v>
      </c>
      <c r="CN55" s="206">
        <v>0.19789301569997619</v>
      </c>
      <c r="CO55" s="205">
        <f t="shared" si="9"/>
        <v>197.89301569997619</v>
      </c>
      <c r="CQ55" s="306">
        <v>47</v>
      </c>
      <c r="CR55" s="113" t="s">
        <v>603</v>
      </c>
      <c r="CS55" s="205">
        <v>1.1977023807739557</v>
      </c>
      <c r="CU55" s="304">
        <v>27</v>
      </c>
      <c r="CV55" s="113" t="s">
        <v>457</v>
      </c>
      <c r="CW55" s="206">
        <v>9.8322251976219431E-3</v>
      </c>
      <c r="CX55" s="205">
        <f t="shared" si="10"/>
        <v>9.832225197621943</v>
      </c>
      <c r="CZ55" s="307">
        <v>55</v>
      </c>
      <c r="DA55" s="113" t="s">
        <v>50</v>
      </c>
      <c r="DB55" s="205">
        <f>('nutrient content'!AA57/9)/calculations!C60</f>
        <v>0.11779291381015831</v>
      </c>
      <c r="DD55" s="307">
        <v>55</v>
      </c>
      <c r="DE55" s="113" t="s">
        <v>50</v>
      </c>
      <c r="DF55" s="206">
        <v>9.7582371308621487E-4</v>
      </c>
      <c r="DG55" s="205">
        <f t="shared" si="11"/>
        <v>0.97582371308621485</v>
      </c>
      <c r="DI55" s="305">
        <v>38</v>
      </c>
      <c r="DJ55" s="113" t="s">
        <v>605</v>
      </c>
      <c r="DK55" s="205">
        <v>5.0715410459660458E-3</v>
      </c>
      <c r="DM55" s="305">
        <v>38</v>
      </c>
      <c r="DN55" s="113" t="s">
        <v>605</v>
      </c>
      <c r="DO55" s="206">
        <v>2.6502942356630451E-5</v>
      </c>
      <c r="DP55" s="205">
        <f t="shared" si="12"/>
        <v>2.6502942356630452E-2</v>
      </c>
    </row>
    <row r="56" spans="1:120" s="204" customFormat="1" x14ac:dyDescent="0.2">
      <c r="A56" s="306">
        <v>44</v>
      </c>
      <c r="B56" s="308" t="s">
        <v>176</v>
      </c>
      <c r="C56" s="309">
        <v>124.32503506158076</v>
      </c>
      <c r="E56" s="303">
        <v>19</v>
      </c>
      <c r="F56" s="113" t="s">
        <v>555</v>
      </c>
      <c r="G56" s="205">
        <v>35.202566628713463</v>
      </c>
      <c r="I56" s="303">
        <v>15</v>
      </c>
      <c r="J56" s="113" t="s">
        <v>458</v>
      </c>
      <c r="K56" s="205">
        <v>6.4581247715381027E-2</v>
      </c>
      <c r="L56" s="205">
        <f t="shared" si="0"/>
        <v>64.581247715381025</v>
      </c>
      <c r="N56" s="303">
        <v>9</v>
      </c>
      <c r="O56" s="113" t="s">
        <v>640</v>
      </c>
      <c r="P56" s="205">
        <v>3.689494713121614E-2</v>
      </c>
      <c r="R56" s="302">
        <v>3</v>
      </c>
      <c r="S56" s="113" t="s">
        <v>29</v>
      </c>
      <c r="T56" s="205">
        <v>8.8990000708684915E-5</v>
      </c>
      <c r="U56" s="205">
        <f t="shared" si="1"/>
        <v>8.8990000708684916E-2</v>
      </c>
      <c r="W56" s="303">
        <v>18</v>
      </c>
      <c r="X56" s="113" t="s">
        <v>578</v>
      </c>
      <c r="Y56" s="205">
        <v>9.5483185790236629</v>
      </c>
      <c r="AA56" s="307">
        <v>54</v>
      </c>
      <c r="AB56" s="113" t="s">
        <v>49</v>
      </c>
      <c r="AC56" s="205">
        <v>3.6617538584905872E-2</v>
      </c>
      <c r="AD56" s="205">
        <f t="shared" si="2"/>
        <v>36.617538584905873</v>
      </c>
      <c r="AF56" s="303">
        <v>7</v>
      </c>
      <c r="AG56" s="113" t="s">
        <v>638</v>
      </c>
      <c r="AH56" s="205">
        <v>3.3261591304738376</v>
      </c>
      <c r="AJ56" s="306">
        <v>42</v>
      </c>
      <c r="AK56" s="113" t="s">
        <v>230</v>
      </c>
      <c r="AL56" s="205">
        <v>8.5976809886106828E-3</v>
      </c>
      <c r="AM56" s="205">
        <f t="shared" si="3"/>
        <v>8.5976809886106835</v>
      </c>
      <c r="AO56" s="302">
        <v>3</v>
      </c>
      <c r="AP56" s="113" t="s">
        <v>29</v>
      </c>
      <c r="AQ56" s="205">
        <v>0.13908278690165296</v>
      </c>
      <c r="AS56" s="304">
        <v>31</v>
      </c>
      <c r="AT56" s="113" t="s">
        <v>315</v>
      </c>
      <c r="AU56" s="205">
        <v>1.8703064091225312E-4</v>
      </c>
      <c r="AV56" s="205">
        <f t="shared" si="4"/>
        <v>0.18703064091225313</v>
      </c>
      <c r="AX56" s="303">
        <v>13</v>
      </c>
      <c r="AY56" s="113" t="s">
        <v>565</v>
      </c>
      <c r="AZ56" s="205">
        <v>0.10044172456277323</v>
      </c>
      <c r="BB56" s="307">
        <v>57</v>
      </c>
      <c r="BC56" s="113" t="s">
        <v>641</v>
      </c>
      <c r="BD56" s="206">
        <v>3.1576928477481623E-4</v>
      </c>
      <c r="BE56" s="205">
        <f t="shared" si="5"/>
        <v>0.31576928477481625</v>
      </c>
      <c r="BG56" s="305">
        <v>41</v>
      </c>
      <c r="BH56" s="113" t="s">
        <v>584</v>
      </c>
      <c r="BI56" s="205">
        <v>3.9970559647078643E-4</v>
      </c>
      <c r="BK56" s="305">
        <v>41</v>
      </c>
      <c r="BL56" s="113" t="s">
        <v>584</v>
      </c>
      <c r="BM56" s="206">
        <v>1.2018713384774266E-6</v>
      </c>
      <c r="BN56" s="205">
        <f t="shared" si="6"/>
        <v>1.2018713384774266E-3</v>
      </c>
      <c r="BP56" s="304">
        <v>32</v>
      </c>
      <c r="BQ56" s="113" t="s">
        <v>429</v>
      </c>
      <c r="BR56" s="205">
        <v>249.93581183811065</v>
      </c>
      <c r="BT56" s="304">
        <v>32</v>
      </c>
      <c r="BU56" s="113" t="s">
        <v>429</v>
      </c>
      <c r="BV56" s="205">
        <v>0.38546644461044294</v>
      </c>
      <c r="BW56" s="205">
        <f t="shared" si="7"/>
        <v>385.46644461044292</v>
      </c>
      <c r="BY56" s="307">
        <v>56</v>
      </c>
      <c r="BZ56" s="113" t="s">
        <v>51</v>
      </c>
      <c r="CA56" s="205">
        <v>0.71281547195608852</v>
      </c>
      <c r="CC56" s="302">
        <v>4</v>
      </c>
      <c r="CD56" s="113" t="s">
        <v>36</v>
      </c>
      <c r="CE56" s="206">
        <v>2.4939125960741493E-3</v>
      </c>
      <c r="CF56" s="205">
        <f t="shared" si="8"/>
        <v>2.4939125960741491</v>
      </c>
      <c r="CH56" s="303">
        <v>9</v>
      </c>
      <c r="CI56" s="113" t="s">
        <v>640</v>
      </c>
      <c r="CJ56" s="205">
        <v>64.893473026270243</v>
      </c>
      <c r="CL56" s="305">
        <v>39</v>
      </c>
      <c r="CM56" s="113" t="s">
        <v>583</v>
      </c>
      <c r="CN56" s="206">
        <v>0.12189426489254265</v>
      </c>
      <c r="CO56" s="205">
        <f t="shared" si="9"/>
        <v>121.89426489254265</v>
      </c>
      <c r="CQ56" s="305">
        <v>40</v>
      </c>
      <c r="CR56" s="113" t="s">
        <v>606</v>
      </c>
      <c r="CS56" s="205">
        <v>0.78891590558366653</v>
      </c>
      <c r="CU56" s="306">
        <v>47</v>
      </c>
      <c r="CV56" s="113" t="s">
        <v>603</v>
      </c>
      <c r="CW56" s="206">
        <v>5.0374363343542606E-3</v>
      </c>
      <c r="CX56" s="205">
        <f t="shared" si="10"/>
        <v>5.0374363343542603</v>
      </c>
      <c r="CZ56" s="305">
        <v>40</v>
      </c>
      <c r="DA56" s="113" t="s">
        <v>606</v>
      </c>
      <c r="DB56" s="205">
        <f>('nutrient content'!AA42/9)/calculations!C45</f>
        <v>0.10680765800129548</v>
      </c>
      <c r="DD56" s="306">
        <v>47</v>
      </c>
      <c r="DE56" s="113" t="s">
        <v>603</v>
      </c>
      <c r="DF56" s="206">
        <v>8.73934500503317E-4</v>
      </c>
      <c r="DG56" s="205">
        <f t="shared" si="11"/>
        <v>0.873934500503317</v>
      </c>
      <c r="DI56" s="303">
        <v>24</v>
      </c>
      <c r="DJ56" s="113" t="s">
        <v>15</v>
      </c>
      <c r="DK56" s="205">
        <v>0</v>
      </c>
      <c r="DM56" s="303">
        <v>24</v>
      </c>
      <c r="DN56" s="113" t="s">
        <v>15</v>
      </c>
      <c r="DO56" s="206">
        <v>0</v>
      </c>
      <c r="DP56" s="205">
        <f t="shared" si="12"/>
        <v>0</v>
      </c>
    </row>
    <row r="57" spans="1:120" s="204" customFormat="1" x14ac:dyDescent="0.2">
      <c r="A57" s="307">
        <v>57</v>
      </c>
      <c r="B57" s="308" t="s">
        <v>641</v>
      </c>
      <c r="C57" s="309">
        <v>97.008131430591064</v>
      </c>
      <c r="E57" s="303">
        <v>15</v>
      </c>
      <c r="F57" s="113" t="s">
        <v>458</v>
      </c>
      <c r="G57" s="205">
        <v>28.288301965736185</v>
      </c>
      <c r="I57" s="303">
        <v>17</v>
      </c>
      <c r="J57" s="113" t="s">
        <v>554</v>
      </c>
      <c r="K57" s="205">
        <v>6.4258069432529402E-2</v>
      </c>
      <c r="L57" s="205">
        <f t="shared" si="0"/>
        <v>64.258069432529396</v>
      </c>
      <c r="N57" s="302">
        <v>1</v>
      </c>
      <c r="O57" s="113" t="s">
        <v>577</v>
      </c>
      <c r="P57" s="205">
        <v>3.489480389693965E-2</v>
      </c>
      <c r="R57" s="302">
        <v>1</v>
      </c>
      <c r="S57" s="113" t="s">
        <v>577</v>
      </c>
      <c r="T57" s="205">
        <v>4.6153323672650622E-5</v>
      </c>
      <c r="U57" s="205">
        <f t="shared" si="1"/>
        <v>4.6153323672650626E-2</v>
      </c>
      <c r="W57" s="303">
        <v>9</v>
      </c>
      <c r="X57" s="113" t="s">
        <v>640</v>
      </c>
      <c r="Y57" s="205">
        <v>7.8674276067843874</v>
      </c>
      <c r="AA57" s="303">
        <v>6</v>
      </c>
      <c r="AB57" s="113" t="s">
        <v>637</v>
      </c>
      <c r="AC57" s="205">
        <v>3.5100550992917902E-2</v>
      </c>
      <c r="AD57" s="205">
        <f t="shared" si="2"/>
        <v>35.100550992917903</v>
      </c>
      <c r="AF57" s="307">
        <v>55</v>
      </c>
      <c r="AG57" s="113" t="s">
        <v>50</v>
      </c>
      <c r="AH57" s="205">
        <v>2.5946085536956343</v>
      </c>
      <c r="AJ57" s="307">
        <v>57</v>
      </c>
      <c r="AK57" s="113" t="s">
        <v>641</v>
      </c>
      <c r="AL57" s="205">
        <v>6.2950085617817716E-3</v>
      </c>
      <c r="AM57" s="205">
        <f t="shared" si="3"/>
        <v>6.2950085617817715</v>
      </c>
      <c r="AO57" s="303">
        <v>6</v>
      </c>
      <c r="AP57" s="113" t="s">
        <v>637</v>
      </c>
      <c r="AQ57" s="205">
        <v>4.8576052328416469E-2</v>
      </c>
      <c r="AS57" s="307">
        <v>55</v>
      </c>
      <c r="AT57" s="113" t="s">
        <v>50</v>
      </c>
      <c r="AU57" s="205">
        <v>1.4006462494632745E-4</v>
      </c>
      <c r="AV57" s="205">
        <f t="shared" si="4"/>
        <v>0.14006462494632746</v>
      </c>
      <c r="AX57" s="307">
        <v>58</v>
      </c>
      <c r="AY57" s="113" t="s">
        <v>326</v>
      </c>
      <c r="AZ57" s="205">
        <v>6.007020364870605E-2</v>
      </c>
      <c r="BB57" s="302">
        <v>3</v>
      </c>
      <c r="BC57" s="113" t="s">
        <v>29</v>
      </c>
      <c r="BD57" s="206">
        <v>2.5189019779679582E-4</v>
      </c>
      <c r="BE57" s="205">
        <f t="shared" si="5"/>
        <v>0.25189019779679583</v>
      </c>
      <c r="BG57" s="305">
        <v>39</v>
      </c>
      <c r="BH57" s="113" t="s">
        <v>583</v>
      </c>
      <c r="BI57" s="205">
        <v>1.076881258377338E-4</v>
      </c>
      <c r="BK57" s="305">
        <v>39</v>
      </c>
      <c r="BL57" s="113" t="s">
        <v>583</v>
      </c>
      <c r="BM57" s="206">
        <v>6.4959247197414856E-7</v>
      </c>
      <c r="BN57" s="205">
        <f t="shared" si="6"/>
        <v>6.4959247197414851E-4</v>
      </c>
      <c r="BP57" s="304">
        <v>27</v>
      </c>
      <c r="BQ57" s="113" t="s">
        <v>457</v>
      </c>
      <c r="BR57" s="205">
        <v>243.371356768873</v>
      </c>
      <c r="BT57" s="307">
        <v>58</v>
      </c>
      <c r="BU57" s="113" t="s">
        <v>326</v>
      </c>
      <c r="BV57" s="205">
        <v>0.36433015180289635</v>
      </c>
      <c r="BW57" s="205">
        <f t="shared" si="7"/>
        <v>364.33015180289635</v>
      </c>
      <c r="BY57" s="307">
        <v>57</v>
      </c>
      <c r="BZ57" s="113" t="s">
        <v>641</v>
      </c>
      <c r="CA57" s="205">
        <v>0.5827191899633859</v>
      </c>
      <c r="CC57" s="302">
        <v>3</v>
      </c>
      <c r="CD57" s="113" t="s">
        <v>29</v>
      </c>
      <c r="CE57" s="206">
        <v>1.6344394114315333E-3</v>
      </c>
      <c r="CF57" s="205">
        <f t="shared" si="8"/>
        <v>1.6344394114315333</v>
      </c>
      <c r="CH57" s="307">
        <v>55</v>
      </c>
      <c r="CI57" s="113" t="s">
        <v>50</v>
      </c>
      <c r="CJ57" s="205">
        <v>61.049842543819508</v>
      </c>
      <c r="CL57" s="304">
        <v>31</v>
      </c>
      <c r="CM57" s="113" t="s">
        <v>315</v>
      </c>
      <c r="CN57" s="206">
        <v>0.11354377897836822</v>
      </c>
      <c r="CO57" s="205">
        <f t="shared" si="9"/>
        <v>113.54377897836822</v>
      </c>
      <c r="CQ57" s="305">
        <v>39</v>
      </c>
      <c r="CR57" s="113" t="s">
        <v>583</v>
      </c>
      <c r="CS57" s="205">
        <v>0.72983722359299408</v>
      </c>
      <c r="CU57" s="305">
        <v>39</v>
      </c>
      <c r="CV57" s="113" t="s">
        <v>583</v>
      </c>
      <c r="CW57" s="206">
        <v>4.4024980704641383E-3</v>
      </c>
      <c r="CX57" s="205">
        <f t="shared" si="10"/>
        <v>4.4024980704641381</v>
      </c>
      <c r="CZ57" s="305">
        <v>39</v>
      </c>
      <c r="DA57" s="113" t="s">
        <v>583</v>
      </c>
      <c r="DB57" s="205">
        <f>('nutrient content'!AA41/9)/calculations!C44</f>
        <v>6.8654825055548749E-2</v>
      </c>
      <c r="DD57" s="305">
        <v>39</v>
      </c>
      <c r="DE57" s="113" t="s">
        <v>583</v>
      </c>
      <c r="DF57" s="206">
        <v>6.5373730401212726E-4</v>
      </c>
      <c r="DG57" s="205">
        <f t="shared" si="11"/>
        <v>0.65373730401212726</v>
      </c>
      <c r="DI57" s="304">
        <v>30</v>
      </c>
      <c r="DJ57" s="113" t="s">
        <v>322</v>
      </c>
      <c r="DK57" s="205">
        <v>0</v>
      </c>
      <c r="DM57" s="304">
        <v>30</v>
      </c>
      <c r="DN57" s="113" t="s">
        <v>322</v>
      </c>
      <c r="DO57" s="206">
        <v>0</v>
      </c>
      <c r="DP57" s="205">
        <f t="shared" si="12"/>
        <v>0</v>
      </c>
    </row>
    <row r="58" spans="1:120" s="204" customFormat="1" x14ac:dyDescent="0.2">
      <c r="A58" s="306">
        <v>51</v>
      </c>
      <c r="B58" s="308" t="s">
        <v>330</v>
      </c>
      <c r="C58" s="309">
        <v>79.235798219163655</v>
      </c>
      <c r="E58" s="303">
        <v>7</v>
      </c>
      <c r="F58" s="113" t="s">
        <v>638</v>
      </c>
      <c r="G58" s="205">
        <v>17.74346814293903</v>
      </c>
      <c r="I58" s="303">
        <v>9</v>
      </c>
      <c r="J58" s="113" t="s">
        <v>640</v>
      </c>
      <c r="K58" s="205">
        <v>6.210436688584324E-2</v>
      </c>
      <c r="L58" s="205">
        <f t="shared" si="0"/>
        <v>62.104366885843241</v>
      </c>
      <c r="N58" s="302">
        <v>2</v>
      </c>
      <c r="O58" s="113" t="s">
        <v>316</v>
      </c>
      <c r="P58" s="205">
        <v>2.2894509954677639E-2</v>
      </c>
      <c r="R58" s="302">
        <v>2</v>
      </c>
      <c r="S58" s="113" t="s">
        <v>316</v>
      </c>
      <c r="T58" s="205">
        <v>3.6417514967990661E-5</v>
      </c>
      <c r="U58" s="205">
        <f t="shared" si="1"/>
        <v>3.6417514967990665E-2</v>
      </c>
      <c r="W58" s="303">
        <v>19</v>
      </c>
      <c r="X58" s="113" t="s">
        <v>555</v>
      </c>
      <c r="Y58" s="205">
        <v>7.8527498795235884</v>
      </c>
      <c r="AA58" s="303">
        <v>19</v>
      </c>
      <c r="AB58" s="113" t="s">
        <v>555</v>
      </c>
      <c r="AC58" s="205">
        <v>2.8500107981237848E-2</v>
      </c>
      <c r="AD58" s="205">
        <f t="shared" si="2"/>
        <v>28.500107981237846</v>
      </c>
      <c r="AF58" s="303">
        <v>24</v>
      </c>
      <c r="AG58" s="113" t="s">
        <v>15</v>
      </c>
      <c r="AH58" s="205">
        <v>2.5786995468927354</v>
      </c>
      <c r="AJ58" s="303">
        <v>9</v>
      </c>
      <c r="AK58" s="113" t="s">
        <v>640</v>
      </c>
      <c r="AL58" s="205">
        <v>5.2676571056448542E-3</v>
      </c>
      <c r="AM58" s="205">
        <f t="shared" si="3"/>
        <v>5.2676571056448545</v>
      </c>
      <c r="AO58" s="307">
        <v>55</v>
      </c>
      <c r="AP58" s="113" t="s">
        <v>50</v>
      </c>
      <c r="AQ58" s="205">
        <v>2.8483371520867534E-2</v>
      </c>
      <c r="AS58" s="303">
        <v>6</v>
      </c>
      <c r="AT58" s="113" t="s">
        <v>637</v>
      </c>
      <c r="AU58" s="205">
        <v>8.7906857027462176E-5</v>
      </c>
      <c r="AV58" s="205">
        <f t="shared" si="4"/>
        <v>8.7906857027462176E-2</v>
      </c>
      <c r="AX58" s="303">
        <v>22</v>
      </c>
      <c r="AY58" s="113" t="s">
        <v>430</v>
      </c>
      <c r="AZ58" s="205">
        <v>5.7401910567160361E-2</v>
      </c>
      <c r="BB58" s="304">
        <v>33</v>
      </c>
      <c r="BC58" s="113" t="s">
        <v>331</v>
      </c>
      <c r="BD58" s="206">
        <v>2.515670269103894E-4</v>
      </c>
      <c r="BE58" s="205">
        <f t="shared" si="5"/>
        <v>0.2515670269103894</v>
      </c>
      <c r="BG58" s="303">
        <v>24</v>
      </c>
      <c r="BH58" s="113" t="s">
        <v>15</v>
      </c>
      <c r="BI58" s="205">
        <v>0</v>
      </c>
      <c r="BK58" s="303">
        <v>24</v>
      </c>
      <c r="BL58" s="113" t="s">
        <v>15</v>
      </c>
      <c r="BM58" s="206">
        <v>0</v>
      </c>
      <c r="BN58" s="205">
        <f t="shared" si="6"/>
        <v>0</v>
      </c>
      <c r="BP58" s="303">
        <v>13</v>
      </c>
      <c r="BQ58" s="113" t="s">
        <v>565</v>
      </c>
      <c r="BR58" s="205">
        <v>174.33710573531002</v>
      </c>
      <c r="BT58" s="304">
        <v>35</v>
      </c>
      <c r="BU58" s="113" t="s">
        <v>563</v>
      </c>
      <c r="BV58" s="205">
        <v>0.35833994172800832</v>
      </c>
      <c r="BW58" s="205">
        <f t="shared" si="7"/>
        <v>358.33994172800834</v>
      </c>
      <c r="BY58" s="307">
        <v>55</v>
      </c>
      <c r="BZ58" s="113" t="s">
        <v>50</v>
      </c>
      <c r="CA58" s="205">
        <v>0.55455047543751479</v>
      </c>
      <c r="CC58" s="307">
        <v>58</v>
      </c>
      <c r="CD58" s="113" t="s">
        <v>326</v>
      </c>
      <c r="CE58" s="206">
        <v>1.5724169715674041E-3</v>
      </c>
      <c r="CF58" s="205">
        <f t="shared" si="8"/>
        <v>1.5724169715674041</v>
      </c>
      <c r="CH58" s="305">
        <v>40</v>
      </c>
      <c r="CI58" s="113" t="s">
        <v>606</v>
      </c>
      <c r="CJ58" s="205">
        <v>21.309380462639993</v>
      </c>
      <c r="CL58" s="304">
        <v>30</v>
      </c>
      <c r="CM58" s="113" t="s">
        <v>322</v>
      </c>
      <c r="CN58" s="206">
        <v>5.8548357052169694E-2</v>
      </c>
      <c r="CO58" s="205">
        <f t="shared" si="9"/>
        <v>58.548357052169692</v>
      </c>
      <c r="CQ58" s="306">
        <v>46</v>
      </c>
      <c r="CR58" s="113" t="s">
        <v>535</v>
      </c>
      <c r="CS58" s="205">
        <v>0.62866008777168425</v>
      </c>
      <c r="CU58" s="305">
        <v>38</v>
      </c>
      <c r="CV58" s="113" t="s">
        <v>605</v>
      </c>
      <c r="CW58" s="206">
        <v>3.1708337900380854E-3</v>
      </c>
      <c r="CX58" s="205">
        <f t="shared" si="10"/>
        <v>3.1708337900380852</v>
      </c>
      <c r="CZ58" s="306">
        <v>46</v>
      </c>
      <c r="DA58" s="113" t="s">
        <v>535</v>
      </c>
      <c r="DB58" s="205">
        <f>('nutrient content'!AA48/9)/calculations!C51</f>
        <v>7.8471709296764919E-2</v>
      </c>
      <c r="DD58" s="305">
        <v>40</v>
      </c>
      <c r="DE58" s="113" t="s">
        <v>606</v>
      </c>
      <c r="DF58" s="206">
        <v>4.1803693447165321E-4</v>
      </c>
      <c r="DG58" s="205">
        <f t="shared" si="11"/>
        <v>0.41803693447165319</v>
      </c>
      <c r="DI58" s="305">
        <v>39</v>
      </c>
      <c r="DJ58" s="113" t="s">
        <v>583</v>
      </c>
      <c r="DK58" s="205">
        <v>0</v>
      </c>
      <c r="DM58" s="305">
        <v>39</v>
      </c>
      <c r="DN58" s="113" t="s">
        <v>583</v>
      </c>
      <c r="DO58" s="206">
        <v>0</v>
      </c>
      <c r="DP58" s="205">
        <f t="shared" si="12"/>
        <v>0</v>
      </c>
    </row>
    <row r="59" spans="1:120" s="204" customFormat="1" x14ac:dyDescent="0.2">
      <c r="A59" s="303">
        <v>13</v>
      </c>
      <c r="B59" s="308" t="s">
        <v>565</v>
      </c>
      <c r="C59" s="309">
        <v>74.386937763043406</v>
      </c>
      <c r="E59" s="303">
        <v>17</v>
      </c>
      <c r="F59" s="113" t="s">
        <v>554</v>
      </c>
      <c r="G59" s="205">
        <v>17.140285241618994</v>
      </c>
      <c r="I59" s="306">
        <v>42</v>
      </c>
      <c r="J59" s="113" t="s">
        <v>230</v>
      </c>
      <c r="K59" s="205">
        <v>5.5786830197025752E-2</v>
      </c>
      <c r="L59" s="205">
        <f t="shared" si="0"/>
        <v>55.786830197025751</v>
      </c>
      <c r="N59" s="303">
        <v>6</v>
      </c>
      <c r="O59" s="113" t="s">
        <v>637</v>
      </c>
      <c r="P59" s="205">
        <v>1.2743931435563752E-2</v>
      </c>
      <c r="R59" s="303">
        <v>13</v>
      </c>
      <c r="S59" s="113" t="s">
        <v>565</v>
      </c>
      <c r="T59" s="205">
        <v>2.8375213657225096E-5</v>
      </c>
      <c r="U59" s="205">
        <f t="shared" si="1"/>
        <v>2.8375213657225097E-2</v>
      </c>
      <c r="W59" s="303">
        <v>22</v>
      </c>
      <c r="X59" s="113" t="s">
        <v>430</v>
      </c>
      <c r="Y59" s="205">
        <v>6.5791896566877446</v>
      </c>
      <c r="AA59" s="307">
        <v>58</v>
      </c>
      <c r="AB59" s="113" t="s">
        <v>326</v>
      </c>
      <c r="AC59" s="205">
        <v>1.9748430741472624E-2</v>
      </c>
      <c r="AD59" s="205">
        <f t="shared" si="2"/>
        <v>19.748430741472625</v>
      </c>
      <c r="AF59" s="303">
        <v>9</v>
      </c>
      <c r="AG59" s="113" t="s">
        <v>640</v>
      </c>
      <c r="AH59" s="205">
        <v>0.94907721751914309</v>
      </c>
      <c r="AJ59" s="304">
        <v>30</v>
      </c>
      <c r="AK59" s="113" t="s">
        <v>322</v>
      </c>
      <c r="AL59" s="205">
        <v>3.913105723318106E-3</v>
      </c>
      <c r="AM59" s="205">
        <f t="shared" si="3"/>
        <v>3.9131057233181061</v>
      </c>
      <c r="AO59" s="303">
        <v>15</v>
      </c>
      <c r="AP59" s="113" t="s">
        <v>458</v>
      </c>
      <c r="AQ59" s="205">
        <v>1.5204270006654029E-2</v>
      </c>
      <c r="AS59" s="303">
        <v>15</v>
      </c>
      <c r="AT59" s="113" t="s">
        <v>458</v>
      </c>
      <c r="AU59" s="205">
        <v>3.4710840149422462E-5</v>
      </c>
      <c r="AV59" s="205">
        <f t="shared" si="4"/>
        <v>3.471084014942246E-2</v>
      </c>
      <c r="AX59" s="307">
        <v>56</v>
      </c>
      <c r="AY59" s="113" t="s">
        <v>51</v>
      </c>
      <c r="AZ59" s="205">
        <v>4.6094102526053893E-2</v>
      </c>
      <c r="BB59" s="307">
        <v>55</v>
      </c>
      <c r="BC59" s="113" t="s">
        <v>50</v>
      </c>
      <c r="BD59" s="206">
        <v>1.1700140719775433E-4</v>
      </c>
      <c r="BE59" s="205">
        <f t="shared" si="5"/>
        <v>0.11700140719775433</v>
      </c>
      <c r="BG59" s="304">
        <v>30</v>
      </c>
      <c r="BH59" s="113" t="s">
        <v>322</v>
      </c>
      <c r="BI59" s="205">
        <v>0</v>
      </c>
      <c r="BK59" s="304">
        <v>30</v>
      </c>
      <c r="BL59" s="113" t="s">
        <v>322</v>
      </c>
      <c r="BM59" s="206">
        <v>0</v>
      </c>
      <c r="BN59" s="205">
        <f t="shared" si="6"/>
        <v>0</v>
      </c>
      <c r="BP59" s="307">
        <v>57</v>
      </c>
      <c r="BQ59" s="113" t="s">
        <v>641</v>
      </c>
      <c r="BR59" s="205">
        <v>129.70431060630406</v>
      </c>
      <c r="BT59" s="304">
        <v>33</v>
      </c>
      <c r="BU59" s="113" t="s">
        <v>331</v>
      </c>
      <c r="BV59" s="205">
        <v>0.32550805509687053</v>
      </c>
      <c r="BW59" s="205">
        <f t="shared" si="7"/>
        <v>325.50805509687052</v>
      </c>
      <c r="BY59" s="302">
        <v>1</v>
      </c>
      <c r="BZ59" s="113" t="s">
        <v>577</v>
      </c>
      <c r="CA59" s="205">
        <v>0.46220937683189867</v>
      </c>
      <c r="CC59" s="307">
        <v>56</v>
      </c>
      <c r="CD59" s="113" t="s">
        <v>51</v>
      </c>
      <c r="CE59" s="206">
        <v>1.2650389807371684E-3</v>
      </c>
      <c r="CF59" s="205">
        <f t="shared" si="8"/>
        <v>1.2650389807371683</v>
      </c>
      <c r="CH59" s="305">
        <v>39</v>
      </c>
      <c r="CI59" s="113" t="s">
        <v>583</v>
      </c>
      <c r="CJ59" s="205">
        <v>20.207384634175042</v>
      </c>
      <c r="CL59" s="305">
        <v>40</v>
      </c>
      <c r="CM59" s="113" t="s">
        <v>606</v>
      </c>
      <c r="CN59" s="206">
        <v>5.4959866363006336E-2</v>
      </c>
      <c r="CO59" s="205">
        <f t="shared" si="9"/>
        <v>54.959866363006334</v>
      </c>
      <c r="CQ59" s="305">
        <v>38</v>
      </c>
      <c r="CR59" s="113" t="s">
        <v>605</v>
      </c>
      <c r="CS59" s="205">
        <v>0.60676333592413811</v>
      </c>
      <c r="CU59" s="305">
        <v>40</v>
      </c>
      <c r="CV59" s="113" t="s">
        <v>606</v>
      </c>
      <c r="CW59" s="206">
        <v>2.034724229479395E-3</v>
      </c>
      <c r="CX59" s="205">
        <f t="shared" si="10"/>
        <v>2.0347242294793952</v>
      </c>
      <c r="CZ59" s="305">
        <v>38</v>
      </c>
      <c r="DA59" s="113" t="s">
        <v>605</v>
      </c>
      <c r="DB59" s="205">
        <f>('nutrient content'!AA40/9)/calculations!C43</f>
        <v>5.3005239343894631E-2</v>
      </c>
      <c r="DD59" s="305">
        <v>38</v>
      </c>
      <c r="DE59" s="113" t="s">
        <v>605</v>
      </c>
      <c r="DF59" s="206">
        <v>4.1138845409441468E-4</v>
      </c>
      <c r="DG59" s="205">
        <f t="shared" si="11"/>
        <v>0.41138845409441466</v>
      </c>
      <c r="DI59" s="305">
        <v>40</v>
      </c>
      <c r="DJ59" s="113" t="s">
        <v>606</v>
      </c>
      <c r="DK59" s="205">
        <v>0</v>
      </c>
      <c r="DM59" s="305">
        <v>40</v>
      </c>
      <c r="DN59" s="113" t="s">
        <v>606</v>
      </c>
      <c r="DO59" s="206">
        <v>0</v>
      </c>
      <c r="DP59" s="205">
        <f t="shared" si="12"/>
        <v>0</v>
      </c>
    </row>
    <row r="60" spans="1:120" s="204" customFormat="1" x14ac:dyDescent="0.2">
      <c r="A60" s="306">
        <v>46</v>
      </c>
      <c r="B60" s="308" t="s">
        <v>535</v>
      </c>
      <c r="C60" s="309">
        <v>63.869694798421136</v>
      </c>
      <c r="E60" s="303">
        <v>9</v>
      </c>
      <c r="F60" s="113" t="s">
        <v>640</v>
      </c>
      <c r="G60" s="205">
        <v>11.189384300781777</v>
      </c>
      <c r="I60" s="303">
        <v>7</v>
      </c>
      <c r="J60" s="113" t="s">
        <v>638</v>
      </c>
      <c r="K60" s="205">
        <v>5.3806077877445811E-2</v>
      </c>
      <c r="L60" s="205">
        <f t="shared" si="0"/>
        <v>53.806077877445809</v>
      </c>
      <c r="N60" s="303">
        <v>13</v>
      </c>
      <c r="O60" s="113" t="s">
        <v>565</v>
      </c>
      <c r="P60" s="205">
        <v>2.1107452523330622E-3</v>
      </c>
      <c r="R60" s="303">
        <v>6</v>
      </c>
      <c r="S60" s="113" t="s">
        <v>637</v>
      </c>
      <c r="T60" s="205">
        <v>2.3062371373857658E-5</v>
      </c>
      <c r="U60" s="205">
        <f t="shared" si="1"/>
        <v>2.3062371373857658E-2</v>
      </c>
      <c r="W60" s="307">
        <v>56</v>
      </c>
      <c r="X60" s="113" t="s">
        <v>51</v>
      </c>
      <c r="Y60" s="205">
        <v>5.7253239579172321</v>
      </c>
      <c r="AA60" s="303">
        <v>18</v>
      </c>
      <c r="AB60" s="113" t="s">
        <v>578</v>
      </c>
      <c r="AC60" s="205">
        <v>1.3438467759625877E-2</v>
      </c>
      <c r="AD60" s="205">
        <f t="shared" si="2"/>
        <v>13.438467759625876</v>
      </c>
      <c r="AF60" s="307">
        <v>57</v>
      </c>
      <c r="AG60" s="113" t="s">
        <v>641</v>
      </c>
      <c r="AH60" s="205">
        <v>0.61066701791802214</v>
      </c>
      <c r="AJ60" s="303">
        <v>24</v>
      </c>
      <c r="AK60" s="113" t="s">
        <v>15</v>
      </c>
      <c r="AL60" s="205">
        <v>2.601817526411311E-3</v>
      </c>
      <c r="AM60" s="205">
        <f t="shared" si="3"/>
        <v>2.601817526411311</v>
      </c>
      <c r="AO60" s="303">
        <v>17</v>
      </c>
      <c r="AP60" s="113" t="s">
        <v>554</v>
      </c>
      <c r="AQ60" s="205">
        <v>0</v>
      </c>
      <c r="AS60" s="303">
        <v>17</v>
      </c>
      <c r="AT60" s="113" t="s">
        <v>554</v>
      </c>
      <c r="AU60" s="205">
        <v>0</v>
      </c>
      <c r="AV60" s="205">
        <f t="shared" si="4"/>
        <v>0</v>
      </c>
      <c r="AX60" s="307">
        <v>57</v>
      </c>
      <c r="AY60" s="113" t="s">
        <v>641</v>
      </c>
      <c r="AZ60" s="205">
        <v>3.0632188279179108E-2</v>
      </c>
      <c r="BB60" s="307">
        <v>58</v>
      </c>
      <c r="BC60" s="113" t="s">
        <v>326</v>
      </c>
      <c r="BD60" s="206">
        <v>8.3724364296505898E-5</v>
      </c>
      <c r="BE60" s="205">
        <f t="shared" si="5"/>
        <v>8.3724364296505899E-2</v>
      </c>
      <c r="BG60" s="305">
        <v>40</v>
      </c>
      <c r="BH60" s="113" t="s">
        <v>606</v>
      </c>
      <c r="BI60" s="205">
        <v>0</v>
      </c>
      <c r="BK60" s="305">
        <v>40</v>
      </c>
      <c r="BL60" s="113" t="s">
        <v>606</v>
      </c>
      <c r="BM60" s="206">
        <v>0</v>
      </c>
      <c r="BN60" s="205">
        <f t="shared" si="6"/>
        <v>0</v>
      </c>
      <c r="BP60" s="307">
        <v>56</v>
      </c>
      <c r="BQ60" s="113" t="s">
        <v>51</v>
      </c>
      <c r="BR60" s="205">
        <v>77.446074985477651</v>
      </c>
      <c r="BT60" s="304">
        <v>31</v>
      </c>
      <c r="BU60" s="113" t="s">
        <v>315</v>
      </c>
      <c r="BV60" s="205">
        <v>0.23795731875456164</v>
      </c>
      <c r="BW60" s="205">
        <f t="shared" si="7"/>
        <v>237.95731875456164</v>
      </c>
      <c r="BY60" s="302">
        <v>2</v>
      </c>
      <c r="BZ60" s="113" t="s">
        <v>316</v>
      </c>
      <c r="CA60" s="205">
        <v>0.43064526909112161</v>
      </c>
      <c r="CC60" s="302">
        <v>2</v>
      </c>
      <c r="CD60" s="113" t="s">
        <v>316</v>
      </c>
      <c r="CE60" s="206">
        <v>6.8501271982089498E-4</v>
      </c>
      <c r="CF60" s="205">
        <f t="shared" si="8"/>
        <v>0.68501271982089496</v>
      </c>
      <c r="CH60" s="305">
        <v>41</v>
      </c>
      <c r="CI60" s="113" t="s">
        <v>584</v>
      </c>
      <c r="CJ60" s="205">
        <v>10.87896687263752</v>
      </c>
      <c r="CL60" s="305">
        <v>38</v>
      </c>
      <c r="CM60" s="113" t="s">
        <v>605</v>
      </c>
      <c r="CN60" s="206">
        <v>4.9491794114922875E-2</v>
      </c>
      <c r="CO60" s="205">
        <f t="shared" si="9"/>
        <v>49.491794114922875</v>
      </c>
      <c r="CQ60" s="307">
        <v>56</v>
      </c>
      <c r="CR60" s="113" t="s">
        <v>51</v>
      </c>
      <c r="CS60" s="205">
        <v>0.11015104127273521</v>
      </c>
      <c r="CU60" s="307">
        <v>57</v>
      </c>
      <c r="CV60" s="113" t="s">
        <v>641</v>
      </c>
      <c r="CW60" s="206">
        <v>3.9959919667703186E-4</v>
      </c>
      <c r="CX60" s="205">
        <f t="shared" si="10"/>
        <v>0.39959919667703186</v>
      </c>
      <c r="CZ60" s="307">
        <v>56</v>
      </c>
      <c r="DA60" s="113" t="s">
        <v>51</v>
      </c>
      <c r="DB60" s="205">
        <f>('nutrient content'!AA58/9)/calculations!C61</f>
        <v>3.372609007916242E-2</v>
      </c>
      <c r="DD60" s="307">
        <v>56</v>
      </c>
      <c r="DE60" s="113" t="s">
        <v>51</v>
      </c>
      <c r="DF60" s="206">
        <v>7.7947288743335195E-5</v>
      </c>
      <c r="DG60" s="205">
        <f t="shared" si="11"/>
        <v>7.7947288743335189E-2</v>
      </c>
      <c r="DI60" s="306">
        <v>46</v>
      </c>
      <c r="DJ60" s="113" t="s">
        <v>535</v>
      </c>
      <c r="DK60" s="205">
        <v>0</v>
      </c>
      <c r="DM60" s="306">
        <v>46</v>
      </c>
      <c r="DN60" s="113" t="s">
        <v>535</v>
      </c>
      <c r="DO60" s="206">
        <v>0</v>
      </c>
      <c r="DP60" s="205">
        <f t="shared" si="12"/>
        <v>0</v>
      </c>
    </row>
    <row r="61" spans="1:120" s="204" customFormat="1" x14ac:dyDescent="0.2">
      <c r="A61" s="303">
        <v>22</v>
      </c>
      <c r="B61" s="308" t="s">
        <v>430</v>
      </c>
      <c r="C61" s="309">
        <v>37.995097074397634</v>
      </c>
      <c r="E61" s="303">
        <v>22</v>
      </c>
      <c r="F61" s="113" t="s">
        <v>430</v>
      </c>
      <c r="G61" s="205">
        <v>7.1595021840956026</v>
      </c>
      <c r="I61" s="304">
        <v>34</v>
      </c>
      <c r="J61" s="113" t="s">
        <v>604</v>
      </c>
      <c r="K61" s="205">
        <v>5.1655462040135956E-2</v>
      </c>
      <c r="L61" s="205">
        <f t="shared" si="0"/>
        <v>51.655462040135959</v>
      </c>
      <c r="N61" s="303">
        <v>17</v>
      </c>
      <c r="O61" s="113" t="s">
        <v>554</v>
      </c>
      <c r="P61" s="205">
        <v>0</v>
      </c>
      <c r="R61" s="303">
        <v>17</v>
      </c>
      <c r="S61" s="113" t="s">
        <v>554</v>
      </c>
      <c r="T61" s="205">
        <v>0</v>
      </c>
      <c r="U61" s="205">
        <f t="shared" si="1"/>
        <v>0</v>
      </c>
      <c r="W61" s="307">
        <v>57</v>
      </c>
      <c r="X61" s="113" t="s">
        <v>641</v>
      </c>
      <c r="Y61" s="205">
        <v>4.4519371529197507</v>
      </c>
      <c r="AA61" s="307">
        <v>56</v>
      </c>
      <c r="AB61" s="113" t="s">
        <v>51</v>
      </c>
      <c r="AC61" s="205">
        <v>1.0160775500899734E-2</v>
      </c>
      <c r="AD61" s="205">
        <f t="shared" si="2"/>
        <v>10.160775500899733</v>
      </c>
      <c r="AF61" s="303">
        <v>6</v>
      </c>
      <c r="AG61" s="113" t="s">
        <v>637</v>
      </c>
      <c r="AH61" s="205">
        <v>6.5207104464802143E-2</v>
      </c>
      <c r="AJ61" s="303">
        <v>6</v>
      </c>
      <c r="AK61" s="113" t="s">
        <v>637</v>
      </c>
      <c r="AL61" s="205">
        <v>1.1800365271775916E-4</v>
      </c>
      <c r="AM61" s="205">
        <f t="shared" si="3"/>
        <v>0.11800365271775916</v>
      </c>
      <c r="AO61" s="304">
        <v>30</v>
      </c>
      <c r="AP61" s="113" t="s">
        <v>322</v>
      </c>
      <c r="AQ61" s="205">
        <v>0</v>
      </c>
      <c r="AS61" s="304">
        <v>30</v>
      </c>
      <c r="AT61" s="113" t="s">
        <v>322</v>
      </c>
      <c r="AU61" s="205">
        <v>0</v>
      </c>
      <c r="AV61" s="205">
        <f t="shared" si="4"/>
        <v>0</v>
      </c>
      <c r="AX61" s="307">
        <v>55</v>
      </c>
      <c r="AY61" s="113" t="s">
        <v>50</v>
      </c>
      <c r="AZ61" s="205">
        <v>2.3793263652081936E-2</v>
      </c>
      <c r="BB61" s="307">
        <v>56</v>
      </c>
      <c r="BC61" s="113" t="s">
        <v>51</v>
      </c>
      <c r="BD61" s="206">
        <v>8.1803550528355897E-5</v>
      </c>
      <c r="BE61" s="205">
        <f t="shared" si="5"/>
        <v>8.1803550528355903E-2</v>
      </c>
      <c r="BG61" s="306">
        <v>46</v>
      </c>
      <c r="BH61" s="113" t="s">
        <v>535</v>
      </c>
      <c r="BI61" s="205">
        <v>0</v>
      </c>
      <c r="BK61" s="306">
        <v>46</v>
      </c>
      <c r="BL61" s="113" t="s">
        <v>535</v>
      </c>
      <c r="BM61" s="206">
        <v>0</v>
      </c>
      <c r="BN61" s="205">
        <f t="shared" si="6"/>
        <v>0</v>
      </c>
      <c r="BP61" s="303">
        <v>22</v>
      </c>
      <c r="BQ61" s="113" t="s">
        <v>430</v>
      </c>
      <c r="BR61" s="205">
        <v>77.233406644338032</v>
      </c>
      <c r="BT61" s="307">
        <v>56</v>
      </c>
      <c r="BU61" s="113" t="s">
        <v>51</v>
      </c>
      <c r="BV61" s="205">
        <v>0.1374441319194013</v>
      </c>
      <c r="BW61" s="205">
        <f t="shared" si="7"/>
        <v>137.44413191940131</v>
      </c>
      <c r="BY61" s="303">
        <v>22</v>
      </c>
      <c r="BZ61" s="113" t="s">
        <v>430</v>
      </c>
      <c r="CA61" s="205">
        <v>0.40059102016356379</v>
      </c>
      <c r="CC61" s="302">
        <v>1</v>
      </c>
      <c r="CD61" s="113" t="s">
        <v>577</v>
      </c>
      <c r="CE61" s="206">
        <v>6.1133740818436488E-4</v>
      </c>
      <c r="CF61" s="205">
        <f t="shared" si="8"/>
        <v>0.61133740818436488</v>
      </c>
      <c r="CH61" s="305">
        <v>38</v>
      </c>
      <c r="CI61" s="113" t="s">
        <v>605</v>
      </c>
      <c r="CJ61" s="205">
        <v>9.4706339362179364</v>
      </c>
      <c r="CL61" s="305">
        <v>41</v>
      </c>
      <c r="CM61" s="113" t="s">
        <v>584</v>
      </c>
      <c r="CN61" s="206">
        <v>3.2711872417888622E-2</v>
      </c>
      <c r="CO61" s="205">
        <f t="shared" si="9"/>
        <v>32.711872417888621</v>
      </c>
      <c r="CQ61" s="307">
        <v>57</v>
      </c>
      <c r="CR61" s="113" t="s">
        <v>641</v>
      </c>
      <c r="CS61" s="205">
        <v>3.8764371390804117E-2</v>
      </c>
      <c r="CU61" s="307">
        <v>56</v>
      </c>
      <c r="CV61" s="113" t="s">
        <v>51</v>
      </c>
      <c r="CW61" s="206">
        <v>1.9548588163555288E-4</v>
      </c>
      <c r="CX61" s="205">
        <f t="shared" si="10"/>
        <v>0.19548588163555289</v>
      </c>
      <c r="CZ61" s="307">
        <v>57</v>
      </c>
      <c r="DA61" s="113" t="s">
        <v>641</v>
      </c>
      <c r="DB61" s="205">
        <f>('nutrient content'!AA59/9)/calculations!C62</f>
        <v>4.2921355298222753E-3</v>
      </c>
      <c r="DD61" s="307">
        <v>57</v>
      </c>
      <c r="DE61" s="113" t="s">
        <v>641</v>
      </c>
      <c r="DF61" s="206">
        <v>6.6693185745385537E-5</v>
      </c>
      <c r="DG61" s="205">
        <f t="shared" si="11"/>
        <v>6.6693185745385533E-2</v>
      </c>
      <c r="DI61" s="307">
        <v>57</v>
      </c>
      <c r="DJ61" s="113" t="s">
        <v>641</v>
      </c>
      <c r="DK61" s="205">
        <v>0</v>
      </c>
      <c r="DM61" s="307">
        <v>57</v>
      </c>
      <c r="DN61" s="113" t="s">
        <v>641</v>
      </c>
      <c r="DO61" s="206">
        <v>0</v>
      </c>
      <c r="DP61" s="205">
        <f t="shared" si="12"/>
        <v>0</v>
      </c>
    </row>
  </sheetData>
  <pageMargins left="0.75" right="0.75" top="1" bottom="1" header="0.5" footer="0.5"/>
  <pageSetup paperSize="0"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17"/>
  <sheetViews>
    <sheetView topLeftCell="A76" zoomScaleNormal="100" workbookViewId="0">
      <selection activeCell="C5" sqref="C5"/>
    </sheetView>
  </sheetViews>
  <sheetFormatPr defaultColWidth="11.42578125" defaultRowHeight="12.75" x14ac:dyDescent="0.2"/>
  <sheetData>
    <row r="1" spans="1:1" ht="18" x14ac:dyDescent="0.25">
      <c r="A1" s="315" t="s">
        <v>130</v>
      </c>
    </row>
    <row r="2" spans="1:1" ht="15.75" x14ac:dyDescent="0.25">
      <c r="A2" s="10" t="s">
        <v>131</v>
      </c>
    </row>
    <row r="116" spans="1:2" ht="15" x14ac:dyDescent="0.2">
      <c r="A116" s="314" t="s">
        <v>129</v>
      </c>
      <c r="B116" s="314" t="s">
        <v>130</v>
      </c>
    </row>
    <row r="117" spans="1:2" ht="15" x14ac:dyDescent="0.2">
      <c r="A117" s="314"/>
      <c r="B117" s="314" t="s">
        <v>128</v>
      </c>
    </row>
  </sheetData>
  <phoneticPr fontId="3" type="noConversion"/>
  <pageMargins left="0.75" right="0.75" top="1" bottom="1" header="0.5" footer="0.5"/>
  <pageSetup paperSize="0" orientation="portrait" horizontalDpi="4294967292" verticalDpi="4294967292"/>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V77"/>
  <sheetViews>
    <sheetView workbookViewId="0">
      <pane xSplit="1" ySplit="4" topLeftCell="B5" activePane="bottomRight" state="frozen"/>
      <selection sqref="A1:U1"/>
      <selection pane="topRight" sqref="A1:U1"/>
      <selection pane="bottomLeft" sqref="A1:U1"/>
      <selection pane="bottomRight" activeCell="B7" sqref="B7"/>
    </sheetView>
  </sheetViews>
  <sheetFormatPr defaultColWidth="8.85546875" defaultRowHeight="12.75" x14ac:dyDescent="0.2"/>
  <cols>
    <col min="1" max="1" width="31" customWidth="1"/>
    <col min="2" max="3" width="18.140625" customWidth="1"/>
    <col min="4" max="4" width="18" customWidth="1"/>
    <col min="5" max="6" width="16" customWidth="1"/>
    <col min="7" max="8" width="17.7109375" customWidth="1"/>
    <col min="9" max="9" width="16" customWidth="1"/>
    <col min="10" max="10" width="12.42578125" customWidth="1"/>
    <col min="11" max="11" width="13.140625" customWidth="1"/>
    <col min="12" max="12" width="11.42578125" customWidth="1"/>
    <col min="13" max="13" width="12.42578125" customWidth="1"/>
    <col min="14" max="14" width="8.85546875" customWidth="1"/>
    <col min="15" max="15" width="11.42578125" customWidth="1"/>
    <col min="16" max="16" width="9.42578125" customWidth="1"/>
    <col min="17" max="17" width="9.7109375" customWidth="1"/>
    <col min="18" max="18" width="8.140625" customWidth="1"/>
    <col min="19" max="19" width="8.85546875" customWidth="1"/>
    <col min="20" max="20" width="10.85546875" customWidth="1"/>
    <col min="21" max="21" width="8.42578125" customWidth="1"/>
    <col min="22" max="22" width="11" customWidth="1"/>
    <col min="23" max="23" width="11.85546875" customWidth="1"/>
    <col min="24" max="24" width="11.42578125" customWidth="1"/>
    <col min="25" max="25" width="9.42578125" customWidth="1"/>
    <col min="26" max="26" width="11.140625" customWidth="1"/>
    <col min="27" max="27" width="15" customWidth="1"/>
    <col min="28" max="28" width="12.28515625" customWidth="1"/>
    <col min="29" max="29" width="10" customWidth="1"/>
    <col min="30" max="30" width="9.42578125" customWidth="1"/>
    <col min="31" max="31" width="10.140625" customWidth="1"/>
    <col min="32" max="32" width="8.85546875" customWidth="1"/>
    <col min="33" max="33" width="12.28515625" customWidth="1"/>
    <col min="34" max="34" width="12.7109375" customWidth="1"/>
    <col min="35" max="35" width="11.42578125" customWidth="1"/>
    <col min="36" max="36" width="10.42578125" customWidth="1"/>
    <col min="37" max="38" width="11.42578125" customWidth="1"/>
    <col min="39" max="39" width="11.28515625" customWidth="1"/>
    <col min="40" max="40" width="10.85546875" customWidth="1"/>
    <col min="41" max="41" width="11" customWidth="1"/>
    <col min="42" max="42" width="11.85546875" customWidth="1"/>
    <col min="43" max="43" width="12" customWidth="1"/>
    <col min="44" max="44" width="11.140625" customWidth="1"/>
    <col min="45" max="45" width="11" customWidth="1"/>
    <col min="46" max="46" width="12" customWidth="1"/>
    <col min="47" max="48" width="10.42578125" customWidth="1"/>
  </cols>
  <sheetData>
    <row r="1" spans="1:48" ht="15.75" x14ac:dyDescent="0.25">
      <c r="A1" s="10" t="s">
        <v>285</v>
      </c>
      <c r="B1" s="10"/>
      <c r="C1" s="10"/>
    </row>
    <row r="2" spans="1:48" ht="15.75" x14ac:dyDescent="0.25">
      <c r="B2" s="10" t="str">
        <f>TFP!$C$14</f>
        <v>Female, 19-50 yrs</v>
      </c>
      <c r="C2" s="10"/>
    </row>
    <row r="3" spans="1:48" ht="8.25" customHeight="1" x14ac:dyDescent="0.2"/>
    <row r="4" spans="1:48" ht="39" customHeight="1" x14ac:dyDescent="0.2">
      <c r="A4" s="2"/>
      <c r="B4" s="77" t="s">
        <v>432</v>
      </c>
      <c r="C4" s="77" t="s">
        <v>629</v>
      </c>
      <c r="D4" s="77" t="s">
        <v>337</v>
      </c>
      <c r="E4" s="77" t="s">
        <v>336</v>
      </c>
      <c r="F4" s="77" t="s">
        <v>444</v>
      </c>
      <c r="G4" s="77" t="s">
        <v>335</v>
      </c>
      <c r="H4" s="77" t="s">
        <v>136</v>
      </c>
      <c r="I4" s="77" t="s">
        <v>334</v>
      </c>
      <c r="J4" s="77" t="s">
        <v>433</v>
      </c>
      <c r="K4" s="77" t="s">
        <v>434</v>
      </c>
      <c r="L4" s="77" t="s">
        <v>307</v>
      </c>
      <c r="M4" s="77" t="s">
        <v>436</v>
      </c>
      <c r="N4" s="77" t="s">
        <v>437</v>
      </c>
      <c r="O4" s="96" t="s">
        <v>438</v>
      </c>
      <c r="P4" s="96" t="s">
        <v>439</v>
      </c>
      <c r="Q4" s="96" t="s">
        <v>308</v>
      </c>
      <c r="R4" s="96" t="s">
        <v>309</v>
      </c>
      <c r="S4" s="96" t="s">
        <v>310</v>
      </c>
      <c r="T4" s="96" t="s">
        <v>271</v>
      </c>
      <c r="U4" s="96" t="s">
        <v>272</v>
      </c>
      <c r="V4" s="96" t="s">
        <v>273</v>
      </c>
      <c r="W4" s="96" t="s">
        <v>274</v>
      </c>
      <c r="X4" s="96" t="s">
        <v>275</v>
      </c>
      <c r="Y4" s="96" t="s">
        <v>276</v>
      </c>
      <c r="Z4" s="96" t="s">
        <v>277</v>
      </c>
      <c r="AA4" s="96" t="s">
        <v>278</v>
      </c>
      <c r="AB4" s="96" t="s">
        <v>279</v>
      </c>
      <c r="AC4" s="96" t="s">
        <v>317</v>
      </c>
      <c r="AD4" s="96" t="s">
        <v>318</v>
      </c>
      <c r="AE4" s="96" t="s">
        <v>319</v>
      </c>
      <c r="AF4" s="96" t="s">
        <v>320</v>
      </c>
      <c r="AG4" s="96" t="s">
        <v>321</v>
      </c>
      <c r="AH4" s="96" t="s">
        <v>328</v>
      </c>
      <c r="AI4" s="96" t="s">
        <v>426</v>
      </c>
      <c r="AJ4" s="96" t="s">
        <v>427</v>
      </c>
      <c r="AK4" s="96" t="s">
        <v>428</v>
      </c>
      <c r="AL4" s="96" t="s">
        <v>510</v>
      </c>
      <c r="AM4" s="96" t="s">
        <v>511</v>
      </c>
      <c r="AN4" s="96" t="s">
        <v>164</v>
      </c>
      <c r="AO4" s="97" t="s">
        <v>114</v>
      </c>
      <c r="AP4" s="96" t="s">
        <v>165</v>
      </c>
      <c r="AQ4" s="96" t="s">
        <v>540</v>
      </c>
      <c r="AR4" s="96" t="s">
        <v>541</v>
      </c>
      <c r="AS4" s="96" t="s">
        <v>624</v>
      </c>
      <c r="AT4" s="97" t="s">
        <v>235</v>
      </c>
      <c r="AU4" s="97" t="s">
        <v>236</v>
      </c>
      <c r="AV4" s="96" t="s">
        <v>544</v>
      </c>
    </row>
    <row r="5" spans="1:48" ht="15" customHeight="1" x14ac:dyDescent="0.2">
      <c r="A5" s="2" t="s">
        <v>591</v>
      </c>
      <c r="B5" s="76" t="s">
        <v>440</v>
      </c>
      <c r="C5" s="76" t="s">
        <v>530</v>
      </c>
      <c r="D5" s="76" t="s">
        <v>441</v>
      </c>
      <c r="E5" s="76" t="s">
        <v>442</v>
      </c>
      <c r="F5" s="76" t="s">
        <v>73</v>
      </c>
      <c r="G5" s="76" t="s">
        <v>74</v>
      </c>
      <c r="H5" s="76" t="s">
        <v>75</v>
      </c>
      <c r="I5" s="76" t="s">
        <v>76</v>
      </c>
      <c r="J5" s="76" t="s">
        <v>76</v>
      </c>
      <c r="K5" s="76" t="s">
        <v>76</v>
      </c>
      <c r="L5" s="76" t="s">
        <v>76</v>
      </c>
      <c r="M5" s="76" t="s">
        <v>76</v>
      </c>
      <c r="N5" s="76"/>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row>
    <row r="6" spans="1:48" x14ac:dyDescent="0.2">
      <c r="A6" s="2" t="s">
        <v>577</v>
      </c>
      <c r="B6" s="52">
        <f>TFP!E17</f>
        <v>7.3074287832099729E-3</v>
      </c>
      <c r="C6" s="110">
        <f>HLOOKUP(TFP!$C$14,cost!$C$6:$S$64,cost!$A7,FALSE)</f>
        <v>0.16702899158299253</v>
      </c>
      <c r="D6" s="110">
        <f>B6/C6</f>
        <v>4.3749463574885405E-2</v>
      </c>
      <c r="E6" s="52">
        <f>D6*0.220462262</f>
        <v>9.645105701005843E-3</v>
      </c>
      <c r="F6" s="52">
        <f>E6/4</f>
        <v>2.4112764252514607E-3</v>
      </c>
      <c r="G6" s="52">
        <f>(D6)/30.4</f>
        <v>1.4391270912791252E-3</v>
      </c>
      <c r="H6" s="52">
        <f>G6*100</f>
        <v>0.14391270912791251</v>
      </c>
      <c r="I6" s="52">
        <f>calculations!G6*'nutrient content'!E3</f>
        <v>0.10090235163705034</v>
      </c>
      <c r="J6" s="52">
        <f>$G6*'nutrient content'!X3</f>
        <v>1.8691745043648473E-2</v>
      </c>
      <c r="K6" s="52">
        <f>$G6*'nutrient content'!Y3</f>
        <v>2.9568964115783334E-2</v>
      </c>
      <c r="L6" s="52">
        <f>$G6*'nutrient content'!Z3</f>
        <v>5.33754492589541E-2</v>
      </c>
      <c r="M6" s="52">
        <f>$G6*'nutrient content'!AA3</f>
        <v>3.1663098674154969E-2</v>
      </c>
      <c r="N6" s="52">
        <f>$G6*'nutrient content'!B3</f>
        <v>0.16151385003762425</v>
      </c>
      <c r="O6" s="52">
        <f>$G6*'nutrient content'!C3</f>
        <v>1.6726190406583036E-2</v>
      </c>
      <c r="P6" s="52">
        <f>$G6*'nutrient content'!D3</f>
        <v>1.6130585277372357E-5</v>
      </c>
      <c r="Q6" s="52">
        <f>$G6*'nutrient content'!F3</f>
        <v>4.6569788944363926E-6</v>
      </c>
      <c r="R6" s="52">
        <f>$G6*'nutrient content'!G3</f>
        <v>7.2681209055048676E-3</v>
      </c>
      <c r="S6" s="52">
        <f>$G6*'nutrient content'!H3</f>
        <v>6.1685382129501764E-5</v>
      </c>
      <c r="T6" s="52">
        <f>$G6*'nutrient content'!I3</f>
        <v>1.432108289077357E-2</v>
      </c>
      <c r="U6" s="52">
        <f>$G6*'nutrient content'!J3</f>
        <v>1.5806571061929367E-4</v>
      </c>
      <c r="V6" s="52">
        <f>$G6*'nutrient content'!K3</f>
        <v>0.13408593900397825</v>
      </c>
      <c r="W6" s="52">
        <f>$G6*'nutrient content'!L3</f>
        <v>0.2132215826068041</v>
      </c>
      <c r="X6" s="52">
        <f>$G6*'nutrient content'!M3</f>
        <v>2.5636938185544169E-4</v>
      </c>
      <c r="Y6" s="52">
        <f>$G6*'nutrient content'!N3</f>
        <v>6.5986472892092723E-2</v>
      </c>
      <c r="Z6" s="52">
        <f>$G6*'nutrient content'!O3</f>
        <v>5.6983813014036668E-5</v>
      </c>
      <c r="AA6" s="52">
        <f>$G6*'nutrient content'!P3</f>
        <v>6.1707618601873735E-4</v>
      </c>
      <c r="AB6" s="52">
        <f>$G6*'nutrient content'!Q3</f>
        <v>5.6524927300586066E-5</v>
      </c>
      <c r="AC6" s="52">
        <f>$G6*'nutrient content'!R3</f>
        <v>7.6531902654540512E-5</v>
      </c>
      <c r="AD6" s="52">
        <f>$G6*'nutrient content'!S3</f>
        <v>1.2363750190724868E-4</v>
      </c>
      <c r="AE6" s="52">
        <f>$G6*'nutrient content'!T3</f>
        <v>4.82001777778426E-2</v>
      </c>
      <c r="AF6" s="52">
        <f>$G6*'nutrient content'!U3</f>
        <v>5.7903953609658601E-4</v>
      </c>
      <c r="AG6" s="52">
        <f>$G6*'nutrient content'!V3</f>
        <v>1.7164077913156394E-3</v>
      </c>
      <c r="AH6" s="52">
        <f>$G6*'nutrient content'!W3</f>
        <v>1.0006247197166655E-3</v>
      </c>
      <c r="AI6" s="52">
        <f>$G6*'nutrient content'!AB3</f>
        <v>4.4732792257884575E-7</v>
      </c>
      <c r="AJ6" s="52">
        <f>$G6*'nutrient content'!AC3</f>
        <v>4.5096947994947336E-7</v>
      </c>
      <c r="AK6" s="52">
        <f>$G6*'nutrient content'!AD3</f>
        <v>3.1827071128429754E-7</v>
      </c>
      <c r="AL6" s="52">
        <f>$G6*'nutrient content'!AE3</f>
        <v>5.578273243334608E-4</v>
      </c>
      <c r="AM6" s="52">
        <f>$G6*'nutrient content'!AF3</f>
        <v>1.0191147820592009E-8</v>
      </c>
      <c r="AN6" s="52">
        <f>$G6*'nutrient content'!AG3</f>
        <v>4.6621442985322427E-6</v>
      </c>
      <c r="AO6" s="52">
        <f>$G6*'nutrient content'!AH3</f>
        <v>4.7714550957879354E-2</v>
      </c>
      <c r="AP6" s="52">
        <f>$G6*'nutrient content'!AI3</f>
        <v>0</v>
      </c>
      <c r="AQ6" s="52">
        <f>$G6*'nutrient content'!AJ3</f>
        <v>4.9499860842875453E-8</v>
      </c>
      <c r="AR6" s="52">
        <f>$G6*'nutrient content'!AK3</f>
        <v>2.4264637668076211E-10</v>
      </c>
      <c r="AS6" s="52">
        <f>$G6*'nutrient content'!AL3</f>
        <v>0</v>
      </c>
      <c r="AT6" s="52">
        <f>$G6*'nutrient content'!AM3</f>
        <v>2.7419040564926118E-8</v>
      </c>
      <c r="AU6" s="52">
        <f>$G6*'nutrient content'!AN3</f>
        <v>3.735652857883103E-7</v>
      </c>
      <c r="AV6" s="52">
        <f>$G6*'nutrient content'!AO3</f>
        <v>3.1827071128429754E-7</v>
      </c>
    </row>
    <row r="7" spans="1:48" x14ac:dyDescent="0.2">
      <c r="A7" s="3" t="s">
        <v>327</v>
      </c>
      <c r="B7" s="52">
        <f>TFP!E18</f>
        <v>25.407306103402416</v>
      </c>
      <c r="C7" s="110">
        <f>HLOOKUP(TFP!$C$14,cost!$C$6:$S$64,cost!$A8,FALSE)</f>
        <v>0.11693281042584859</v>
      </c>
      <c r="D7" s="110">
        <f t="shared" ref="D7:D63" si="0">B7/C7</f>
        <v>217.28124049078701</v>
      </c>
      <c r="E7" s="52">
        <f t="shared" ref="E7:E63" si="1">D7*0.220462262</f>
        <v>47.902313768764891</v>
      </c>
      <c r="F7" s="52">
        <f t="shared" ref="F7:F63" si="2">E7/4</f>
        <v>11.975578442191223</v>
      </c>
      <c r="G7" s="52">
        <f t="shared" ref="G7:G63" si="3">(D7)/30.4</f>
        <v>7.1474092266706259</v>
      </c>
      <c r="H7" s="52">
        <f t="shared" ref="H7:H63" si="4">G7*100</f>
        <v>714.74092266706259</v>
      </c>
      <c r="I7" s="52">
        <f>calculations!G7*'nutrient content'!E4</f>
        <v>341.11461273773608</v>
      </c>
      <c r="J7" s="52">
        <f>$G7*'nutrient content'!X4</f>
        <v>96.688080733975383</v>
      </c>
      <c r="K7" s="52">
        <f>$G7*'nutrient content'!Y4</f>
        <v>152.66138980887473</v>
      </c>
      <c r="L7" s="52">
        <f>$G7*'nutrient content'!Z4</f>
        <v>90.942050920334637</v>
      </c>
      <c r="M7" s="52">
        <f>$G7*'nutrient content'!AA4</f>
        <v>58.792908625385479</v>
      </c>
      <c r="N7" s="52">
        <f>$G7*'nutrient content'!B4</f>
        <v>862.64314205071673</v>
      </c>
      <c r="O7" s="52">
        <f>$G7*'nutrient content'!C4</f>
        <v>44.281627424266041</v>
      </c>
      <c r="P7" s="52">
        <f>$G7*'nutrient content'!D4</f>
        <v>8.8062367001504813E-2</v>
      </c>
      <c r="Q7" s="52">
        <f>$G7*'nutrient content'!F4</f>
        <v>1.2422546515176842E-2</v>
      </c>
      <c r="R7" s="52">
        <f>$G7*'nutrient content'!G4</f>
        <v>37.141205209005669</v>
      </c>
      <c r="S7" s="52">
        <f>$G7*'nutrient content'!H4</f>
        <v>0.23366784864212792</v>
      </c>
      <c r="T7" s="52">
        <f>$G7*'nutrient content'!I4</f>
        <v>80.034323557317805</v>
      </c>
      <c r="U7" s="52">
        <f>$G7*'nutrient content'!J4</f>
        <v>0.65206124780504493</v>
      </c>
      <c r="V7" s="52">
        <f>$G7*'nutrient content'!K4</f>
        <v>692.04809965408253</v>
      </c>
      <c r="W7" s="52">
        <f>$G7*'nutrient content'!L4</f>
        <v>1098.2094672248684</v>
      </c>
      <c r="X7" s="52">
        <f>$G7*'nutrient content'!M4</f>
        <v>1.28755419402657</v>
      </c>
      <c r="Y7" s="52">
        <f>$G7*'nutrient content'!N4</f>
        <v>307.31249369348103</v>
      </c>
      <c r="Z7" s="52">
        <f>$G7*'nutrient content'!O4</f>
        <v>0.26326036618746584</v>
      </c>
      <c r="AA7" s="52">
        <f>$G7*'nutrient content'!P4</f>
        <v>3.3522388266353769</v>
      </c>
      <c r="AB7" s="52">
        <f>$G7*'nutrient content'!Q4</f>
        <v>0.28616223920689765</v>
      </c>
      <c r="AC7" s="52">
        <f>$G7*'nutrient content'!R4</f>
        <v>1.3497114293840649</v>
      </c>
      <c r="AD7" s="52">
        <f>$G7*'nutrient content'!S4</f>
        <v>0.16630970028000136</v>
      </c>
      <c r="AE7" s="52">
        <f>$G7*'nutrient content'!T4</f>
        <v>383.43214059073057</v>
      </c>
      <c r="AF7" s="52">
        <f>$G7*'nutrient content'!U4</f>
        <v>3.1571569517163902</v>
      </c>
      <c r="AG7" s="52">
        <f>$G7*'nutrient content'!V4</f>
        <v>2.7685994553903601</v>
      </c>
      <c r="AH7" s="52">
        <f>$G7*'nutrient content'!W4</f>
        <v>0.55254346223821038</v>
      </c>
      <c r="AI7" s="52">
        <f>$G7*'nutrient content'!AB4</f>
        <v>0</v>
      </c>
      <c r="AJ7" s="52">
        <f>$G7*'nutrient content'!AC4</f>
        <v>0</v>
      </c>
      <c r="AK7" s="52">
        <f>$G7*'nutrient content'!AD4</f>
        <v>1.0872890594879623E-2</v>
      </c>
      <c r="AL7" s="52">
        <f>$G7*'nutrient content'!AE4</f>
        <v>2.9272271026549754</v>
      </c>
      <c r="AM7" s="52">
        <f>$G7*'nutrient content'!AF4</f>
        <v>0</v>
      </c>
      <c r="AN7" s="52">
        <f>$G7*'nutrient content'!AG4</f>
        <v>0</v>
      </c>
      <c r="AO7" s="52">
        <f>$G7*'nutrient content'!AH4</f>
        <v>86.283145957115636</v>
      </c>
      <c r="AP7" s="52">
        <f>$G7*'nutrient content'!AI4</f>
        <v>0</v>
      </c>
      <c r="AQ7" s="52">
        <f>$G7*'nutrient content'!AJ4</f>
        <v>0</v>
      </c>
      <c r="AR7" s="52">
        <f>$G7*'nutrient content'!AK4</f>
        <v>0</v>
      </c>
      <c r="AS7" s="52">
        <f>$G7*'nutrient content'!AL4</f>
        <v>0</v>
      </c>
      <c r="AT7" s="52">
        <f>$G7*'nutrient content'!AM4</f>
        <v>0</v>
      </c>
      <c r="AU7" s="52">
        <f>$G7*'nutrient content'!AN4</f>
        <v>0</v>
      </c>
      <c r="AV7" s="52">
        <f>$G7*'nutrient content'!AO4</f>
        <v>1.0872890594879623E-2</v>
      </c>
    </row>
    <row r="8" spans="1:48" x14ac:dyDescent="0.2">
      <c r="A8" s="2" t="s">
        <v>29</v>
      </c>
      <c r="B8" s="52">
        <f>TFP!E19</f>
        <v>8.7080254709013209E-3</v>
      </c>
      <c r="C8" s="110">
        <f>HLOOKUP(TFP!$C$14,cost!$C$6:$S$64,cost!$A9,FALSE)</f>
        <v>0.92949873599408217</v>
      </c>
      <c r="D8" s="110">
        <f t="shared" si="0"/>
        <v>9.3685178190029972E-3</v>
      </c>
      <c r="E8" s="52">
        <f t="shared" si="1"/>
        <v>2.0654046299647074E-3</v>
      </c>
      <c r="F8" s="52">
        <f t="shared" si="2"/>
        <v>5.1635115749117686E-4</v>
      </c>
      <c r="G8" s="52">
        <f t="shared" si="3"/>
        <v>3.0817492825667756E-4</v>
      </c>
      <c r="H8" s="52">
        <f t="shared" si="4"/>
        <v>3.0817492825667755E-2</v>
      </c>
      <c r="I8" s="52">
        <f>calculations!G8*'nutrient content'!E5</f>
        <v>9.4656332131959689E-2</v>
      </c>
      <c r="J8" s="52">
        <f>$G8*'nutrient content'!X5</f>
        <v>2.5773105428649461E-2</v>
      </c>
      <c r="K8" s="52">
        <f>$G8*'nutrient content'!Y5</f>
        <v>6.1345458232702366E-3</v>
      </c>
      <c r="L8" s="52">
        <f>$G8*'nutrient content'!Z5</f>
        <v>6.26724137307509E-2</v>
      </c>
      <c r="M8" s="52">
        <f>$G8*'nutrient content'!AA5</f>
        <v>3.8639308382966697E-2</v>
      </c>
      <c r="N8" s="52">
        <f>$G8*'nutrient content'!B5</f>
        <v>0.17638027868450645</v>
      </c>
      <c r="O8" s="52">
        <f>$G8*'nutrient content'!C5</f>
        <v>2.1855021299322618E-2</v>
      </c>
      <c r="P8" s="52">
        <f>$G8*'nutrient content'!D5</f>
        <v>1.6020873531557976E-5</v>
      </c>
      <c r="Q8" s="52">
        <f>$G8*'nutrient content'!F5</f>
        <v>8.4234670635046076E-6</v>
      </c>
      <c r="R8" s="52">
        <f>$G8*'nutrient content'!G5</f>
        <v>3.7410550166778298E-3</v>
      </c>
      <c r="S8" s="52">
        <f>$G8*'nutrient content'!H5</f>
        <v>1.5471003977802792E-4</v>
      </c>
      <c r="T8" s="52">
        <f>$G8*'nutrient content'!I5</f>
        <v>8.0150710957195975E-3</v>
      </c>
      <c r="U8" s="52">
        <f>$G8*'nutrient content'!J5</f>
        <v>5.0251828766811631E-5</v>
      </c>
      <c r="V8" s="52">
        <f>$G8*'nutrient content'!K5</f>
        <v>0.14446667625052315</v>
      </c>
      <c r="W8" s="52">
        <f>$G8*'nutrient content'!L5</f>
        <v>5.3309852431875644E-2</v>
      </c>
      <c r="X8" s="52">
        <f>$G8*'nutrient content'!M5</f>
        <v>1.2014703620916375E-4</v>
      </c>
      <c r="Y8" s="52">
        <f>$G8*'nutrient content'!N5</f>
        <v>0.28234745052813826</v>
      </c>
      <c r="Z8" s="52">
        <f>$G8*'nutrient content'!O5</f>
        <v>1.5637158425297572E-5</v>
      </c>
      <c r="AA8" s="52">
        <f>$G8*'nutrient content'!P5</f>
        <v>3.3720028163976014E-4</v>
      </c>
      <c r="AB8" s="52">
        <f>$G8*'nutrient content'!Q5</f>
        <v>2.3843002223438527E-5</v>
      </c>
      <c r="AC8" s="52">
        <f>$G8*'nutrient content'!R5</f>
        <v>2.7488200285365937E-5</v>
      </c>
      <c r="AD8" s="52">
        <f>$G8*'nutrient content'!S5</f>
        <v>7.1752429781163308E-5</v>
      </c>
      <c r="AE8" s="52">
        <f>$G8*'nutrient content'!T5</f>
        <v>5.6388596495985231E-2</v>
      </c>
      <c r="AF8" s="52">
        <f>$G8*'nutrient content'!U5</f>
        <v>8.5150365248240489E-4</v>
      </c>
      <c r="AG8" s="52">
        <f>$G8*'nutrient content'!V5</f>
        <v>1.5438362541641065E-3</v>
      </c>
      <c r="AH8" s="52">
        <f>$G8*'nutrient content'!W5</f>
        <v>5.9760118254668579E-4</v>
      </c>
      <c r="AI8" s="52">
        <f>$G8*'nutrient content'!AB5</f>
        <v>7.2249595302220503E-6</v>
      </c>
      <c r="AJ8" s="52">
        <f>$G8*'nutrient content'!AC5</f>
        <v>7.0329679942349809E-7</v>
      </c>
      <c r="AK8" s="52">
        <f>$G8*'nutrient content'!AD5</f>
        <v>6.6064554165277357E-8</v>
      </c>
      <c r="AL8" s="52">
        <f>$G8*'nutrient content'!AE5</f>
        <v>5.628085420783871E-4</v>
      </c>
      <c r="AM8" s="52">
        <f>$G8*'nutrient content'!AF5</f>
        <v>1.4711960820346157E-6</v>
      </c>
      <c r="AN8" s="52">
        <f>$G8*'nutrient content'!AG5</f>
        <v>4.2136871824810508E-7</v>
      </c>
      <c r="AO8" s="52">
        <f>$G8*'nutrient content'!AH5</f>
        <v>5.2199229278529526E-2</v>
      </c>
      <c r="AP8" s="52">
        <f>$G8*'nutrient content'!AI5</f>
        <v>0</v>
      </c>
      <c r="AQ8" s="52">
        <f>$G8*'nutrient content'!AJ5</f>
        <v>0</v>
      </c>
      <c r="AR8" s="52">
        <f>$G8*'nutrient content'!AK5</f>
        <v>0</v>
      </c>
      <c r="AS8" s="52">
        <f>$G8*'nutrient content'!AL5</f>
        <v>0</v>
      </c>
      <c r="AT8" s="52">
        <f>$G8*'nutrient content'!AM5</f>
        <v>0</v>
      </c>
      <c r="AU8" s="52">
        <f>$G8*'nutrient content'!AN5</f>
        <v>7.0780999610284258E-7</v>
      </c>
      <c r="AV8" s="52">
        <f>$G8*'nutrient content'!AO5</f>
        <v>6.6064554165277357E-8</v>
      </c>
    </row>
    <row r="9" spans="1:48" x14ac:dyDescent="0.2">
      <c r="A9" s="3" t="s">
        <v>60</v>
      </c>
      <c r="B9" s="52">
        <f>TFP!E20</f>
        <v>5.3869729304791107E-3</v>
      </c>
      <c r="C9" s="110">
        <f>HLOOKUP(TFP!$C$14,cost!$C$6:$S$64,cost!$A10,FALSE)</f>
        <v>0.38156542821034406</v>
      </c>
      <c r="D9" s="110">
        <f t="shared" si="0"/>
        <v>1.4118084428522847E-2</v>
      </c>
      <c r="E9" s="52">
        <f t="shared" si="1"/>
        <v>3.1125048282191242E-3</v>
      </c>
      <c r="F9" s="52">
        <f t="shared" si="2"/>
        <v>7.7812620705478106E-4</v>
      </c>
      <c r="G9" s="52">
        <f t="shared" si="3"/>
        <v>4.6441067199088314E-4</v>
      </c>
      <c r="H9" s="52">
        <f t="shared" si="4"/>
        <v>4.6441067199088311E-2</v>
      </c>
      <c r="I9" s="52">
        <f>calculations!G9*'nutrient content'!E6</f>
        <v>6.1052407997159615E-2</v>
      </c>
      <c r="J9" s="52">
        <f>$G9*'nutrient content'!X6</f>
        <v>6.2497437617426016E-3</v>
      </c>
      <c r="K9" s="52">
        <f>$G9*'nutrient content'!Y6</f>
        <v>3.1808266170861577E-2</v>
      </c>
      <c r="L9" s="52">
        <f>$G9*'nutrient content'!Z6</f>
        <v>2.4468774415983552E-2</v>
      </c>
      <c r="M9" s="52">
        <f>$G9*'nutrient content'!AA6</f>
        <v>1.4563709045832682E-2</v>
      </c>
      <c r="N9" s="52">
        <f>$G9*'nutrient content'!B6</f>
        <v>5.3770491283677113E-2</v>
      </c>
      <c r="O9" s="52">
        <f>$G9*'nutrient content'!C6</f>
        <v>9.6962351730806758E-3</v>
      </c>
      <c r="P9" s="52">
        <f>$G9*'nutrient content'!D6</f>
        <v>2.8516027153178709E-5</v>
      </c>
      <c r="Q9" s="52">
        <f>$G9*'nutrient content'!F6</f>
        <v>2.6897934550576509E-4</v>
      </c>
      <c r="R9" s="52">
        <f>$G9*'nutrient content'!G6</f>
        <v>4.1632526369709483E-3</v>
      </c>
      <c r="S9" s="52">
        <f>$G9*'nutrient content'!H6</f>
        <v>1.5225936932477451E-4</v>
      </c>
      <c r="T9" s="52">
        <f>$G9*'nutrient content'!I6</f>
        <v>7.2986950892489962E-3</v>
      </c>
      <c r="U9" s="52">
        <f>$G9*'nutrient content'!J6</f>
        <v>1.4952278225959591E-4</v>
      </c>
      <c r="V9" s="52">
        <f>$G9*'nutrient content'!K6</f>
        <v>4.5921406842427258E-2</v>
      </c>
      <c r="W9" s="52">
        <f>$G9*'nutrient content'!L6</f>
        <v>8.0932907262697945E-2</v>
      </c>
      <c r="X9" s="52">
        <f>$G9*'nutrient content'!M6</f>
        <v>8.8417238533207784E-5</v>
      </c>
      <c r="Y9" s="52">
        <f>$G9*'nutrient content'!N6</f>
        <v>2.9963224911033218E-2</v>
      </c>
      <c r="Z9" s="52">
        <f>$G9*'nutrient content'!O6</f>
        <v>2.3352033944135367E-5</v>
      </c>
      <c r="AA9" s="52">
        <f>$G9*'nutrient content'!P6</f>
        <v>1.6979506541695683E-4</v>
      </c>
      <c r="AB9" s="52">
        <f>$G9*'nutrient content'!Q6</f>
        <v>2.9302455325721732E-5</v>
      </c>
      <c r="AC9" s="52">
        <f>$G9*'nutrient content'!R6</f>
        <v>6.8195780084664395E-4</v>
      </c>
      <c r="AD9" s="52">
        <f>$G9*'nutrient content'!S6</f>
        <v>1.1398605673412367E-4</v>
      </c>
      <c r="AE9" s="52">
        <f>$G9*'nutrient content'!T6</f>
        <v>3.3489849689206701E-2</v>
      </c>
      <c r="AF9" s="52">
        <f>$G9*'nutrient content'!U6</f>
        <v>2.7399309961938928E-4</v>
      </c>
      <c r="AG9" s="52">
        <f>$G9*'nutrient content'!V6</f>
        <v>1.0137707009994969E-3</v>
      </c>
      <c r="AH9" s="52">
        <f>$G9*'nutrient content'!W6</f>
        <v>3.6750368025045339E-4</v>
      </c>
      <c r="AI9" s="52">
        <f>$G9*'nutrient content'!AB6</f>
        <v>3.3923495883660632E-5</v>
      </c>
      <c r="AJ9" s="52">
        <f>$G9*'nutrient content'!AC6</f>
        <v>3.827195290903184E-8</v>
      </c>
      <c r="AK9" s="52">
        <f>$G9*'nutrient content'!AD6</f>
        <v>7.8561111223277737E-7</v>
      </c>
      <c r="AL9" s="52">
        <f>$G9*'nutrient content'!AE6</f>
        <v>1.3875935168380945E-4</v>
      </c>
      <c r="AM9" s="52">
        <f>$G9*'nutrient content'!AF6</f>
        <v>7.9932167784173988E-6</v>
      </c>
      <c r="AN9" s="52">
        <f>$G9*'nutrient content'!AG6</f>
        <v>7.3266124883216899E-5</v>
      </c>
      <c r="AO9" s="52">
        <f>$G9*'nutrient content'!AH6</f>
        <v>3.8523187392906229E-2</v>
      </c>
      <c r="AP9" s="52">
        <f>$G9*'nutrient content'!AI6</f>
        <v>7.9985357167133437E-7</v>
      </c>
      <c r="AQ9" s="52">
        <f>$G9*'nutrient content'!AJ6</f>
        <v>0</v>
      </c>
      <c r="AR9" s="52">
        <f>$G9*'nutrient content'!AK6</f>
        <v>0</v>
      </c>
      <c r="AS9" s="52">
        <f>$G9*'nutrient content'!AL6</f>
        <v>0</v>
      </c>
      <c r="AT9" s="52">
        <f>$G9*'nutrient content'!AM6</f>
        <v>3.827195290903184E-8</v>
      </c>
      <c r="AU9" s="52">
        <f>$G9*'nutrient content'!AN6</f>
        <v>0</v>
      </c>
      <c r="AV9" s="52">
        <f>$G9*'nutrient content'!AO6</f>
        <v>7.8561111223277737E-7</v>
      </c>
    </row>
    <row r="10" spans="1:48" x14ac:dyDescent="0.2">
      <c r="A10" s="3" t="s">
        <v>61</v>
      </c>
      <c r="B10" s="52">
        <f>TFP!E21</f>
        <v>2.3772025259851627E-3</v>
      </c>
      <c r="C10" s="110">
        <f>HLOOKUP(TFP!$C$14,cost!$C$6:$S$64,cost!$A11,FALSE)</f>
        <v>0.27868977030237924</v>
      </c>
      <c r="D10" s="110">
        <f t="shared" si="0"/>
        <v>8.529923877026023E-3</v>
      </c>
      <c r="E10" s="52">
        <f t="shared" si="1"/>
        <v>1.8805263126169668E-3</v>
      </c>
      <c r="F10" s="52">
        <f t="shared" si="2"/>
        <v>4.701315781542417E-4</v>
      </c>
      <c r="G10" s="52">
        <f t="shared" si="3"/>
        <v>2.805896012179613E-4</v>
      </c>
      <c r="H10" s="52">
        <f t="shared" si="4"/>
        <v>2.805896012179613E-2</v>
      </c>
      <c r="I10" s="52">
        <f>calculations!G10*'nutrient content'!E7</f>
        <v>2.5973398577949856E-2</v>
      </c>
      <c r="J10" s="52">
        <f>$G10*'nutrient content'!X7</f>
        <v>4.1304564167776005E-3</v>
      </c>
      <c r="K10" s="52">
        <f>$G10*'nutrient content'!Y7</f>
        <v>1.776706284203227E-2</v>
      </c>
      <c r="L10" s="52">
        <f>$G10*'nutrient content'!Z7</f>
        <v>4.4303191385672387E-3</v>
      </c>
      <c r="M10" s="52">
        <f>$G10*'nutrient content'!AA7</f>
        <v>2.2981130680449664E-3</v>
      </c>
      <c r="N10" s="52">
        <f>$G10*'nutrient content'!B7</f>
        <v>3.0114846571752587E-2</v>
      </c>
      <c r="O10" s="52">
        <f>$G10*'nutrient content'!C7</f>
        <v>1.4250015081589038E-3</v>
      </c>
      <c r="P10" s="52">
        <f>$G10*'nutrient content'!D7</f>
        <v>3.3272625210514412E-5</v>
      </c>
      <c r="Q10" s="52">
        <f>$G10*'nutrient content'!F7</f>
        <v>1.7645834479065016E-4</v>
      </c>
      <c r="R10" s="52">
        <f>$G10*'nutrient content'!G7</f>
        <v>4.460854683287138E-3</v>
      </c>
      <c r="S10" s="52">
        <f>$G10*'nutrient content'!H7</f>
        <v>2.2818883820482981E-4</v>
      </c>
      <c r="T10" s="52">
        <f>$G10*'nutrient content'!I7</f>
        <v>6.5057940007473758E-3</v>
      </c>
      <c r="U10" s="52">
        <f>$G10*'nutrient content'!J7</f>
        <v>2.1651379612798194E-4</v>
      </c>
      <c r="V10" s="52">
        <f>$G10*'nutrient content'!K7</f>
        <v>2.8416421583900568E-2</v>
      </c>
      <c r="W10" s="52">
        <f>$G10*'nutrient content'!L7</f>
        <v>5.1674354926427683E-2</v>
      </c>
      <c r="X10" s="52">
        <f>$G10*'nutrient content'!M7</f>
        <v>4.9419335401085447E-5</v>
      </c>
      <c r="Y10" s="52">
        <f>$G10*'nutrient content'!N7</f>
        <v>1.446984472993388E-2</v>
      </c>
      <c r="Z10" s="52">
        <f>$G10*'nutrient content'!O7</f>
        <v>2.514970965639243E-5</v>
      </c>
      <c r="AA10" s="52">
        <f>$G10*'nutrient content'!P7</f>
        <v>1.1248309637265309E-4</v>
      </c>
      <c r="AB10" s="52">
        <f>$G10*'nutrient content'!Q7</f>
        <v>2.6598601888287612E-5</v>
      </c>
      <c r="AC10" s="52">
        <f>$G10*'nutrient content'!R7</f>
        <v>7.444827052888605E-4</v>
      </c>
      <c r="AD10" s="52">
        <f>$G10*'nutrient content'!S7</f>
        <v>1.5849286617402098E-4</v>
      </c>
      <c r="AE10" s="52">
        <f>$G10*'nutrient content'!T7</f>
        <v>1.9413378399446228E-2</v>
      </c>
      <c r="AF10" s="52">
        <f>$G10*'nutrient content'!U7</f>
        <v>2.2829284368180186E-4</v>
      </c>
      <c r="AG10" s="52">
        <f>$G10*'nutrient content'!V7</f>
        <v>4.7998415760622335E-4</v>
      </c>
      <c r="AH10" s="52">
        <f>$G10*'nutrient content'!W7</f>
        <v>6.7484607937283325E-5</v>
      </c>
      <c r="AI10" s="52">
        <f>$G10*'nutrient content'!AB7</f>
        <v>1.5303061706653156E-5</v>
      </c>
      <c r="AJ10" s="52">
        <f>$G10*'nutrient content'!AC7</f>
        <v>0</v>
      </c>
      <c r="AK10" s="52">
        <f>$G10*'nutrient content'!AD7</f>
        <v>3.5134163279081685E-6</v>
      </c>
      <c r="AL10" s="52">
        <f>$G10*'nutrient content'!AE7</f>
        <v>9.4447336820701876E-5</v>
      </c>
      <c r="AM10" s="52">
        <f>$G10*'nutrient content'!AF7</f>
        <v>5.8083710707589437E-6</v>
      </c>
      <c r="AN10" s="52">
        <f>$G10*'nutrient content'!AG7</f>
        <v>8.5829369443489779E-5</v>
      </c>
      <c r="AO10" s="52">
        <f>$G10*'nutrient content'!AH7</f>
        <v>1.1379127816683795E-2</v>
      </c>
      <c r="AP10" s="52">
        <f>$G10*'nutrient content'!AI7</f>
        <v>0</v>
      </c>
      <c r="AQ10" s="52">
        <f>$G10*'nutrient content'!AJ7</f>
        <v>0</v>
      </c>
      <c r="AR10" s="52">
        <f>$G10*'nutrient content'!AK7</f>
        <v>0</v>
      </c>
      <c r="AS10" s="52">
        <f>$G10*'nutrient content'!AL7</f>
        <v>0</v>
      </c>
      <c r="AT10" s="52">
        <f>$G10*'nutrient content'!AM7</f>
        <v>0</v>
      </c>
      <c r="AU10" s="52">
        <f>$G10*'nutrient content'!AN7</f>
        <v>0</v>
      </c>
      <c r="AV10" s="52">
        <f>$G10*'nutrient content'!AO7</f>
        <v>3.5134163279081685E-6</v>
      </c>
    </row>
    <row r="11" spans="1:48" x14ac:dyDescent="0.2">
      <c r="A11" s="3" t="s">
        <v>425</v>
      </c>
      <c r="B11" s="52">
        <f>TFP!E22</f>
        <v>5.2525790694223319E-3</v>
      </c>
      <c r="C11" s="110">
        <f>HLOOKUP(TFP!$C$14,cost!$C$6:$S$64,cost!$A12,FALSE)</f>
        <v>0.70221720818874378</v>
      </c>
      <c r="D11" s="110">
        <f t="shared" si="0"/>
        <v>7.4799919571474386E-3</v>
      </c>
      <c r="E11" s="52">
        <f t="shared" si="1"/>
        <v>1.6490559466145313E-3</v>
      </c>
      <c r="F11" s="52">
        <f t="shared" si="2"/>
        <v>4.1226398665363283E-4</v>
      </c>
      <c r="G11" s="52">
        <f t="shared" si="3"/>
        <v>2.4605236701142892E-4</v>
      </c>
      <c r="H11" s="52">
        <f t="shared" si="4"/>
        <v>2.4605236701142893E-2</v>
      </c>
      <c r="I11" s="52">
        <f>calculations!G11*'nutrient content'!E8</f>
        <v>6.8324235463614227E-2</v>
      </c>
      <c r="J11" s="52">
        <f>$G11*'nutrient content'!X8</f>
        <v>2.47068833486228E-2</v>
      </c>
      <c r="K11" s="52">
        <f>$G11*'nutrient content'!Y8</f>
        <v>1.0648248639908228E-4</v>
      </c>
      <c r="L11" s="52">
        <f>$G11*'nutrient content'!Z8</f>
        <v>4.183737306079971E-2</v>
      </c>
      <c r="M11" s="52">
        <f>$G11*'nutrient content'!AA8</f>
        <v>1.6262954298417259E-2</v>
      </c>
      <c r="N11" s="52">
        <f>$G11*'nutrient content'!B8</f>
        <v>5.9258550194024855E-3</v>
      </c>
      <c r="O11" s="52">
        <f>$G11*'nutrient content'!C8</f>
        <v>2.194116438276152E-2</v>
      </c>
      <c r="P11" s="52">
        <f>$G11*'nutrient content'!D8</f>
        <v>1.9559977475260113E-5</v>
      </c>
      <c r="Q11" s="52">
        <f>$G11*'nutrient content'!F8</f>
        <v>1.5757188920967669E-6</v>
      </c>
      <c r="R11" s="52">
        <f>$G11*'nutrient content'!G8</f>
        <v>2.3982183109427205E-3</v>
      </c>
      <c r="S11" s="52">
        <f>$G11*'nutrient content'!H8</f>
        <v>5.8543474059828432E-4</v>
      </c>
      <c r="T11" s="52">
        <f>$G11*'nutrient content'!I8</f>
        <v>4.818867909946822E-3</v>
      </c>
      <c r="U11" s="52">
        <f>$G11*'nutrient content'!J8</f>
        <v>1.1557416376175651E-3</v>
      </c>
      <c r="V11" s="52">
        <f>$G11*'nutrient content'!K8</f>
        <v>4.6055437440227984E-2</v>
      </c>
      <c r="W11" s="52">
        <f>$G11*'nutrient content'!L8</f>
        <v>7.0904237358517253E-2</v>
      </c>
      <c r="X11" s="52">
        <f>$G11*'nutrient content'!M8</f>
        <v>4.4188696224430888E-5</v>
      </c>
      <c r="Y11" s="52">
        <f>$G11*'nutrient content'!N8</f>
        <v>2.5008687057330951E-2</v>
      </c>
      <c r="Z11" s="52">
        <f>$G11*'nutrient content'!O8</f>
        <v>1.5786378572051926E-5</v>
      </c>
      <c r="AA11" s="52">
        <f>$G11*'nutrient content'!P8</f>
        <v>6.4844365103149159E-4</v>
      </c>
      <c r="AB11" s="52">
        <f>$G11*'nutrient content'!Q8</f>
        <v>8.3858136358023637E-5</v>
      </c>
      <c r="AC11" s="52">
        <f>$G11*'nutrient content'!R8</f>
        <v>6.0061687984105966E-6</v>
      </c>
      <c r="AD11" s="52">
        <f>$G11*'nutrient content'!S8</f>
        <v>1.0541527647882376E-4</v>
      </c>
      <c r="AE11" s="52">
        <f>$G11*'nutrient content'!T8</f>
        <v>8.0625093538547365E-6</v>
      </c>
      <c r="AF11" s="52">
        <f>$G11*'nutrient content'!U8</f>
        <v>1.4675902132876531E-3</v>
      </c>
      <c r="AG11" s="52">
        <f>$G11*'nutrient content'!V8</f>
        <v>1.0135054841570526E-3</v>
      </c>
      <c r="AH11" s="52">
        <f>$G11*'nutrient content'!W8</f>
        <v>1.7851197296964042E-4</v>
      </c>
      <c r="AI11" s="52">
        <f>$G11*'nutrient content'!AB8</f>
        <v>1.6454022840340253E-6</v>
      </c>
      <c r="AJ11" s="52">
        <f>$G11*'nutrient content'!AC8</f>
        <v>1.0350902987965159E-8</v>
      </c>
      <c r="AK11" s="52">
        <f>$G11*'nutrient content'!AD8</f>
        <v>0</v>
      </c>
      <c r="AL11" s="52">
        <f>$G11*'nutrient content'!AE8</f>
        <v>0</v>
      </c>
      <c r="AM11" s="52">
        <f>$G11*'nutrient content'!AF8</f>
        <v>7.7288845975620555E-4</v>
      </c>
      <c r="AN11" s="52">
        <f>$G11*'nutrient content'!AG8</f>
        <v>2.4610137756803102E-7</v>
      </c>
      <c r="AO11" s="52">
        <f>$G11*'nutrient content'!AH8</f>
        <v>1.9974025413388719E-2</v>
      </c>
      <c r="AP11" s="52">
        <f>$G11*'nutrient content'!AI8</f>
        <v>0</v>
      </c>
      <c r="AQ11" s="52">
        <f>$G11*'nutrient content'!AJ8</f>
        <v>0</v>
      </c>
      <c r="AR11" s="52">
        <f>$G11*'nutrient content'!AK8</f>
        <v>0</v>
      </c>
      <c r="AS11" s="52">
        <f>$G11*'nutrient content'!AL8</f>
        <v>0</v>
      </c>
      <c r="AT11" s="52">
        <f>$G11*'nutrient content'!AM8</f>
        <v>0</v>
      </c>
      <c r="AU11" s="52">
        <f>$G11*'nutrient content'!AN8</f>
        <v>1.0350902987965159E-8</v>
      </c>
      <c r="AV11" s="52">
        <f>$G11*'nutrient content'!AO8</f>
        <v>0</v>
      </c>
    </row>
    <row r="12" spans="1:48" x14ac:dyDescent="0.2">
      <c r="A12" s="3" t="s">
        <v>324</v>
      </c>
      <c r="B12" s="52">
        <f>TFP!E23</f>
        <v>1.2019351666226698E-2</v>
      </c>
      <c r="C12" s="110">
        <f>HLOOKUP(TFP!$C$14,cost!$C$6:$S$64,cost!$A13,FALSE)</f>
        <v>1.3804978030797912</v>
      </c>
      <c r="D12" s="110">
        <f t="shared" si="0"/>
        <v>8.7065344395423089E-3</v>
      </c>
      <c r="E12" s="52">
        <f t="shared" si="1"/>
        <v>1.9194622767223996E-3</v>
      </c>
      <c r="F12" s="52">
        <f t="shared" si="2"/>
        <v>4.798655691805999E-4</v>
      </c>
      <c r="G12" s="52">
        <f t="shared" si="3"/>
        <v>2.8639915919547072E-4</v>
      </c>
      <c r="H12" s="52">
        <f t="shared" si="4"/>
        <v>2.8639915919547072E-2</v>
      </c>
      <c r="I12" s="52">
        <f>calculations!G12*'nutrient content'!E9</f>
        <v>9.2480976029715611E-2</v>
      </c>
      <c r="J12" s="52">
        <f>$G12*'nutrient content'!X9</f>
        <v>3.3568691301142192E-2</v>
      </c>
      <c r="K12" s="52">
        <f>$G12*'nutrient content'!Y9</f>
        <v>2.0668719115982115E-3</v>
      </c>
      <c r="L12" s="52">
        <f>$G12*'nutrient content'!Z9</f>
        <v>5.4511245131124042E-2</v>
      </c>
      <c r="M12" s="52">
        <f>$G12*'nutrient content'!AA9</f>
        <v>1.9878186126131996E-2</v>
      </c>
      <c r="N12" s="52">
        <f>$G12*'nutrient content'!B9</f>
        <v>4.9760385984370771E-3</v>
      </c>
      <c r="O12" s="52">
        <f>$G12*'nutrient content'!C9</f>
        <v>2.5223453520901037E-2</v>
      </c>
      <c r="P12" s="52">
        <f>$G12*'nutrient content'!D9</f>
        <v>3.3180447393162167E-5</v>
      </c>
      <c r="Q12" s="52">
        <f>$G12*'nutrient content'!F9</f>
        <v>3.7393237762308715E-5</v>
      </c>
      <c r="R12" s="52">
        <f>$G12*'nutrient content'!G9</f>
        <v>3.5062206238319982E-3</v>
      </c>
      <c r="S12" s="52">
        <f>$G12*'nutrient content'!H9</f>
        <v>6.2393324108511239E-4</v>
      </c>
      <c r="T12" s="52">
        <f>$G12*'nutrient content'!I9</f>
        <v>7.5517253148160175E-3</v>
      </c>
      <c r="U12" s="52">
        <f>$G12*'nutrient content'!J9</f>
        <v>1.4588560344841288E-3</v>
      </c>
      <c r="V12" s="52">
        <f>$G12*'nutrient content'!K9</f>
        <v>7.4090972207420225E-2</v>
      </c>
      <c r="W12" s="52">
        <f>$G12*'nutrient content'!L9</f>
        <v>0.10992194132496934</v>
      </c>
      <c r="X12" s="52">
        <f>$G12*'nutrient content'!M9</f>
        <v>7.1895238817799428E-5</v>
      </c>
      <c r="Y12" s="52">
        <f>$G12*'nutrient content'!N9</f>
        <v>0.14858913236316584</v>
      </c>
      <c r="Z12" s="52">
        <f>$G12*'nutrient content'!O9</f>
        <v>8.3310178744967897E-5</v>
      </c>
      <c r="AA12" s="52">
        <f>$G12*'nutrient content'!P9</f>
        <v>5.2108890376211827E-4</v>
      </c>
      <c r="AB12" s="52">
        <f>$G12*'nutrient content'!Q9</f>
        <v>9.7930674955045853E-5</v>
      </c>
      <c r="AC12" s="52">
        <f>$G12*'nutrient content'!R9</f>
        <v>5.1481908150094537E-5</v>
      </c>
      <c r="AD12" s="52">
        <f>$G12*'nutrient content'!S9</f>
        <v>7.4083576085706769E-5</v>
      </c>
      <c r="AE12" s="52">
        <f>$G12*'nutrient content'!T9</f>
        <v>9.3279938760834592E-4</v>
      </c>
      <c r="AF12" s="52">
        <f>$G12*'nutrient content'!U9</f>
        <v>1.2475271649215597E-3</v>
      </c>
      <c r="AG12" s="52">
        <f>$G12*'nutrient content'!V9</f>
        <v>4.0323627806655021E-3</v>
      </c>
      <c r="AH12" s="52">
        <f>$G12*'nutrient content'!W9</f>
        <v>4.5291170270095435E-4</v>
      </c>
      <c r="AI12" s="52">
        <f>$G12*'nutrient content'!AB9</f>
        <v>2.3061061406886878E-5</v>
      </c>
      <c r="AJ12" s="52">
        <f>$G12*'nutrient content'!AC9</f>
        <v>6.9574481776230915E-8</v>
      </c>
      <c r="AK12" s="52">
        <f>$G12*'nutrient content'!AD9</f>
        <v>0</v>
      </c>
      <c r="AL12" s="52">
        <f>$G12*'nutrient content'!AE9</f>
        <v>4.4962913952791565E-7</v>
      </c>
      <c r="AM12" s="52">
        <f>$G12*'nutrient content'!AF9</f>
        <v>8.3445661360662538E-4</v>
      </c>
      <c r="AN12" s="52">
        <f>$G12*'nutrient content'!AG9</f>
        <v>8.5633223479904895E-5</v>
      </c>
      <c r="AO12" s="52">
        <f>$G12*'nutrient content'!AH9</f>
        <v>3.0316814500875314E-2</v>
      </c>
      <c r="AP12" s="52">
        <f>$G12*'nutrient content'!AI9</f>
        <v>4.228905835376117E-7</v>
      </c>
      <c r="AQ12" s="52">
        <f>$G12*'nutrient content'!AJ9</f>
        <v>0</v>
      </c>
      <c r="AR12" s="52">
        <f>$G12*'nutrient content'!AK9</f>
        <v>0</v>
      </c>
      <c r="AS12" s="52">
        <f>$G12*'nutrient content'!AL9</f>
        <v>0</v>
      </c>
      <c r="AT12" s="52">
        <f>$G12*'nutrient content'!AM9</f>
        <v>0</v>
      </c>
      <c r="AU12" s="52">
        <f>$G12*'nutrient content'!AN9</f>
        <v>6.9574481776230915E-8</v>
      </c>
      <c r="AV12" s="52">
        <f>$G12*'nutrient content'!AO9</f>
        <v>0</v>
      </c>
    </row>
    <row r="13" spans="1:48" x14ac:dyDescent="0.2">
      <c r="A13" s="3" t="s">
        <v>616</v>
      </c>
      <c r="B13" s="52">
        <f>TFP!E24</f>
        <v>5.7609264000189029</v>
      </c>
      <c r="C13" s="110">
        <f>HLOOKUP(TFP!$C$14,cost!$C$6:$S$64,cost!$A14,FALSE)</f>
        <v>0.63429699320197708</v>
      </c>
      <c r="D13" s="110">
        <f t="shared" si="0"/>
        <v>9.0823801180852684</v>
      </c>
      <c r="E13" s="52">
        <f t="shared" si="1"/>
        <v>2.0023220651769051</v>
      </c>
      <c r="F13" s="52">
        <f t="shared" si="2"/>
        <v>0.50058051629422629</v>
      </c>
      <c r="G13" s="52">
        <f t="shared" si="3"/>
        <v>0.29876250388438386</v>
      </c>
      <c r="H13" s="52">
        <f t="shared" si="4"/>
        <v>29.876250388438386</v>
      </c>
      <c r="I13" s="52">
        <f>calculations!G13*'nutrient content'!E10</f>
        <v>53.016058308168191</v>
      </c>
      <c r="J13" s="52">
        <f>$G13*'nutrient content'!X10</f>
        <v>28.214913196371377</v>
      </c>
      <c r="K13" s="52">
        <f>$G13*'nutrient content'!Y10</f>
        <v>2.7289627443421045</v>
      </c>
      <c r="L13" s="52">
        <f>$G13*'nutrient content'!Z10</f>
        <v>20.184995493652394</v>
      </c>
      <c r="M13" s="52">
        <f>$G13*'nutrient content'!AA10</f>
        <v>6.4051323452207827</v>
      </c>
      <c r="N13" s="52">
        <f>$G13*'nutrient content'!B10</f>
        <v>5.400212843418533</v>
      </c>
      <c r="O13" s="52">
        <f>$G13*'nutrient content'!C10</f>
        <v>22.300547094689044</v>
      </c>
      <c r="P13" s="52">
        <f>$G13*'nutrient content'!D10</f>
        <v>0.10036670665221539</v>
      </c>
      <c r="Q13" s="52">
        <f>$G13*'nutrient content'!F10</f>
        <v>4.1828277811192791E-2</v>
      </c>
      <c r="R13" s="52">
        <f>$G13*'nutrient content'!G10</f>
        <v>3.2931778007094743</v>
      </c>
      <c r="S13" s="52">
        <f>$G13*'nutrient content'!H10</f>
        <v>0.53301587477524248</v>
      </c>
      <c r="T13" s="52">
        <f>$G13*'nutrient content'!I10</f>
        <v>6.3923639521993945</v>
      </c>
      <c r="U13" s="52">
        <f>$G13*'nutrient content'!J10</f>
        <v>1.6708360920528853</v>
      </c>
      <c r="V13" s="52">
        <f>$G13*'nutrient content'!K10</f>
        <v>69.460938581857206</v>
      </c>
      <c r="W13" s="52">
        <f>$G13*'nutrient content'!L10</f>
        <v>101.39425640512816</v>
      </c>
      <c r="X13" s="52">
        <f>$G13*'nutrient content'!M10</f>
        <v>0.10727642428079351</v>
      </c>
      <c r="Y13" s="52">
        <f>$G13*'nutrient content'!N10</f>
        <v>266.19712865419342</v>
      </c>
      <c r="Z13" s="52">
        <f>$G13*'nutrient content'!O10</f>
        <v>0.17490766737802704</v>
      </c>
      <c r="AA13" s="52">
        <f>$G13*'nutrient content'!P10</f>
        <v>0.60374206436336286</v>
      </c>
      <c r="AB13" s="52">
        <f>$G13*'nutrient content'!Q10</f>
        <v>0.11350349139209115</v>
      </c>
      <c r="AC13" s="52">
        <f>$G13*'nutrient content'!R10</f>
        <v>5.1703535587735876E-2</v>
      </c>
      <c r="AD13" s="52">
        <f>$G13*'nutrient content'!S10</f>
        <v>0.11942866058200681</v>
      </c>
      <c r="AE13" s="52">
        <f>$G13*'nutrient content'!T10</f>
        <v>32.981597336964207</v>
      </c>
      <c r="AF13" s="52">
        <f>$G13*'nutrient content'!U10</f>
        <v>0.84818159168147811</v>
      </c>
      <c r="AG13" s="52">
        <f>$G13*'nutrient content'!V10</f>
        <v>2.8189562165874573</v>
      </c>
      <c r="AH13" s="52">
        <f>$G13*'nutrient content'!W10</f>
        <v>0.39310906143472335</v>
      </c>
      <c r="AI13" s="52">
        <f>$G13*'nutrient content'!AB10</f>
        <v>4.4276048966807514E-2</v>
      </c>
      <c r="AJ13" s="52">
        <f>$G13*'nutrient content'!AC10</f>
        <v>8.3301661912793315E-5</v>
      </c>
      <c r="AK13" s="52">
        <f>$G13*'nutrient content'!AD10</f>
        <v>0</v>
      </c>
      <c r="AL13" s="52">
        <f>$G13*'nutrient content'!AE10</f>
        <v>7.2200504341392007E-5</v>
      </c>
      <c r="AM13" s="52">
        <f>$G13*'nutrient content'!AF10</f>
        <v>0.99089996925244561</v>
      </c>
      <c r="AN13" s="52">
        <f>$G13*'nutrient content'!AG10</f>
        <v>0.22802152063833159</v>
      </c>
      <c r="AO13" s="52">
        <f>$G13*'nutrient content'!AH10</f>
        <v>1.8143868334119868</v>
      </c>
      <c r="AP13" s="52">
        <f>$G13*'nutrient content'!AI10</f>
        <v>0</v>
      </c>
      <c r="AQ13" s="52">
        <f>$G13*'nutrient content'!AJ10</f>
        <v>0</v>
      </c>
      <c r="AR13" s="52">
        <f>$G13*'nutrient content'!AK10</f>
        <v>0</v>
      </c>
      <c r="AS13" s="52">
        <f>$G13*'nutrient content'!AL10</f>
        <v>0</v>
      </c>
      <c r="AT13" s="52">
        <f>$G13*'nutrient content'!AM10</f>
        <v>0</v>
      </c>
      <c r="AU13" s="52">
        <f>$G13*'nutrient content'!AN10</f>
        <v>8.3301661912793315E-5</v>
      </c>
      <c r="AV13" s="52">
        <f>$G13*'nutrient content'!AO10</f>
        <v>0</v>
      </c>
    </row>
    <row r="14" spans="1:48" x14ac:dyDescent="0.2">
      <c r="A14" s="3" t="s">
        <v>617</v>
      </c>
      <c r="B14" s="52">
        <f>TFP!E25</f>
        <v>3.4562527870950641E-2</v>
      </c>
      <c r="C14" s="110">
        <f>HLOOKUP(TFP!$C$14,cost!$C$6:$S$64,cost!$A15,FALSE)</f>
        <v>1.6125579516477428</v>
      </c>
      <c r="D14" s="110">
        <f t="shared" si="0"/>
        <v>2.1433355517942152E-2</v>
      </c>
      <c r="E14" s="52">
        <f t="shared" si="1"/>
        <v>4.7252460397357084E-3</v>
      </c>
      <c r="F14" s="52">
        <f t="shared" si="2"/>
        <v>1.1813115099339271E-3</v>
      </c>
      <c r="G14" s="52">
        <f t="shared" si="3"/>
        <v>7.0504458940599183E-4</v>
      </c>
      <c r="H14" s="52">
        <f t="shared" si="4"/>
        <v>7.0504458940599188E-2</v>
      </c>
      <c r="I14" s="52">
        <f>calculations!G14*'nutrient content'!E11</f>
        <v>0.15015717653863547</v>
      </c>
      <c r="J14" s="52">
        <f>$G14*'nutrient content'!X11</f>
        <v>8.3263021766285861E-2</v>
      </c>
      <c r="K14" s="52">
        <f>$G14*'nutrient content'!Y11</f>
        <v>2.0991483076555624E-3</v>
      </c>
      <c r="L14" s="52">
        <f>$G14*'nutrient content'!Z11</f>
        <v>5.8995146052698164E-2</v>
      </c>
      <c r="M14" s="52">
        <f>$G14*'nutrient content'!AA11</f>
        <v>2.1291105521714256E-2</v>
      </c>
      <c r="N14" s="52">
        <f>$G14*'nutrient content'!B11</f>
        <v>9.3254163822977486E-3</v>
      </c>
      <c r="O14" s="52">
        <f>$G14*'nutrient content'!C11</f>
        <v>5.9467468441181247E-2</v>
      </c>
      <c r="P14" s="52">
        <f>$G14*'nutrient content'!D11</f>
        <v>8.0213339659596211E-5</v>
      </c>
      <c r="Q14" s="52">
        <f>$G14*'nutrient content'!F11</f>
        <v>3.0748854016696307E-5</v>
      </c>
      <c r="R14" s="52">
        <f>$G14*'nutrient content'!G11</f>
        <v>6.5568431933938232E-3</v>
      </c>
      <c r="S14" s="52">
        <f>$G14*'nutrient content'!H11</f>
        <v>1.713291639437048E-3</v>
      </c>
      <c r="T14" s="52">
        <f>$G14*'nutrient content'!I11</f>
        <v>1.9844366353424743E-2</v>
      </c>
      <c r="U14" s="52">
        <f>$G14*'nutrient content'!J11</f>
        <v>3.6309719143686366E-3</v>
      </c>
      <c r="V14" s="52">
        <f>$G14*'nutrient content'!K11</f>
        <v>0.16770324059282782</v>
      </c>
      <c r="W14" s="52">
        <f>$G14*'nutrient content'!L11</f>
        <v>0.28733032297351013</v>
      </c>
      <c r="X14" s="52">
        <f>$G14*'nutrient content'!M11</f>
        <v>2.0326372949034649E-4</v>
      </c>
      <c r="Y14" s="52">
        <f>$G14*'nutrient content'!N11</f>
        <v>5.4083284673768557E-2</v>
      </c>
      <c r="Z14" s="52">
        <f>$G14*'nutrient content'!O11</f>
        <v>2.3890615553949881E-4</v>
      </c>
      <c r="AA14" s="52">
        <f>$G14*'nutrient content'!P11</f>
        <v>1.4878448844069141E-3</v>
      </c>
      <c r="AB14" s="52">
        <f>$G14*'nutrient content'!Q11</f>
        <v>3.1765631561747967E-4</v>
      </c>
      <c r="AC14" s="52">
        <f>$G14*'nutrient content'!R11</f>
        <v>1.2320325570324491E-4</v>
      </c>
      <c r="AD14" s="52">
        <f>$G14*'nutrient content'!S11</f>
        <v>1.5354303360691246E-4</v>
      </c>
      <c r="AE14" s="52">
        <f>$G14*'nutrient content'!T11</f>
        <v>7.909765179573119E-4</v>
      </c>
      <c r="AF14" s="52">
        <f>$G14*'nutrient content'!U11</f>
        <v>3.4643834530405301E-3</v>
      </c>
      <c r="AG14" s="52">
        <f>$G14*'nutrient content'!V11</f>
        <v>4.4478783792574559E-3</v>
      </c>
      <c r="AH14" s="52">
        <f>$G14*'nutrient content'!W11</f>
        <v>3.8446807868397552E-4</v>
      </c>
      <c r="AI14" s="52">
        <f>$G14*'nutrient content'!AB11</f>
        <v>3.8567777729234629E-5</v>
      </c>
      <c r="AJ14" s="52">
        <f>$G14*'nutrient content'!AC11</f>
        <v>0</v>
      </c>
      <c r="AK14" s="52">
        <f>$G14*'nutrient content'!AD11</f>
        <v>0</v>
      </c>
      <c r="AL14" s="52">
        <f>$G14*'nutrient content'!AE11</f>
        <v>3.221380647263269E-7</v>
      </c>
      <c r="AM14" s="52">
        <f>$G14*'nutrient content'!AF11</f>
        <v>2.4127457181132182E-3</v>
      </c>
      <c r="AN14" s="52">
        <f>$G14*'nutrient content'!AG11</f>
        <v>1.9790313530553135E-4</v>
      </c>
      <c r="AO14" s="52">
        <f>$G14*'nutrient content'!AH11</f>
        <v>8.7264922221736863E-3</v>
      </c>
      <c r="AP14" s="52">
        <f>$G14*'nutrient content'!AI11</f>
        <v>0</v>
      </c>
      <c r="AQ14" s="52">
        <f>$G14*'nutrient content'!AJ11</f>
        <v>0</v>
      </c>
      <c r="AR14" s="52">
        <f>$G14*'nutrient content'!AK11</f>
        <v>0</v>
      </c>
      <c r="AS14" s="52">
        <f>$G14*'nutrient content'!AL11</f>
        <v>0</v>
      </c>
      <c r="AT14" s="52">
        <f>$G14*'nutrient content'!AM11</f>
        <v>0</v>
      </c>
      <c r="AU14" s="52">
        <f>$G14*'nutrient content'!AN11</f>
        <v>0</v>
      </c>
      <c r="AV14" s="52">
        <f>$G14*'nutrient content'!AO11</f>
        <v>0</v>
      </c>
    </row>
    <row r="15" spans="1:48" x14ac:dyDescent="0.2">
      <c r="A15" s="3" t="s">
        <v>562</v>
      </c>
      <c r="B15" s="52">
        <f>TFP!E26</f>
        <v>2.7140094915574737</v>
      </c>
      <c r="C15" s="110">
        <f>HLOOKUP(TFP!$C$14,cost!$C$6:$S$64,cost!$A16,FALSE)</f>
        <v>0.78552787210966091</v>
      </c>
      <c r="D15" s="110">
        <f t="shared" si="0"/>
        <v>3.4550136130352276</v>
      </c>
      <c r="E15" s="52">
        <f t="shared" si="1"/>
        <v>0.76170011637053892</v>
      </c>
      <c r="F15" s="52">
        <f t="shared" si="2"/>
        <v>0.19042502909263473</v>
      </c>
      <c r="G15" s="52">
        <f t="shared" si="3"/>
        <v>0.11365176358668512</v>
      </c>
      <c r="H15" s="52">
        <f t="shared" si="4"/>
        <v>11.365176358668512</v>
      </c>
      <c r="I15" s="52">
        <f>calculations!G15*'nutrient content'!E12</f>
        <v>24.479961295365346</v>
      </c>
      <c r="J15" s="52">
        <f>$G15*'nutrient content'!X12</f>
        <v>7.2512200409962606</v>
      </c>
      <c r="K15" s="52">
        <f>$G15*'nutrient content'!Y12</f>
        <v>4.3844061269570656</v>
      </c>
      <c r="L15" s="52">
        <f>$G15*'nutrient content'!Z12</f>
        <v>12.398307833644365</v>
      </c>
      <c r="M15" s="52">
        <f>$G15*'nutrient content'!AA12</f>
        <v>2.7903611383292537</v>
      </c>
      <c r="N15" s="52">
        <f>$G15*'nutrient content'!B12</f>
        <v>6.0740700249308732</v>
      </c>
      <c r="O15" s="52">
        <f>$G15*'nutrient content'!C12</f>
        <v>9.2642230151600167</v>
      </c>
      <c r="P15" s="52">
        <f>$G15*'nutrient content'!D12</f>
        <v>3.0358027537782897E-2</v>
      </c>
      <c r="Q15" s="52">
        <f>$G15*'nutrient content'!F12</f>
        <v>5.5814130966748067E-2</v>
      </c>
      <c r="R15" s="52">
        <f>$G15*'nutrient content'!G12</f>
        <v>2.9709857771509243</v>
      </c>
      <c r="S15" s="52">
        <f>$G15*'nutrient content'!H12</f>
        <v>0.11652899796384986</v>
      </c>
      <c r="T15" s="52">
        <f>$G15*'nutrient content'!I12</f>
        <v>3.5644845535762233</v>
      </c>
      <c r="U15" s="52">
        <f>$G15*'nutrient content'!J12</f>
        <v>0.28368371237796908</v>
      </c>
      <c r="V15" s="52">
        <f>$G15*'nutrient content'!K12</f>
        <v>23.078544000257764</v>
      </c>
      <c r="W15" s="52">
        <f>$G15*'nutrient content'!L12</f>
        <v>32.361005252538604</v>
      </c>
      <c r="X15" s="52">
        <f>$G15*'nutrient content'!M12</f>
        <v>1.9139394067649779E-2</v>
      </c>
      <c r="Y15" s="52">
        <f>$G15*'nutrient content'!N12</f>
        <v>23.863709957468998</v>
      </c>
      <c r="Z15" s="52">
        <f>$G15*'nutrient content'!O12</f>
        <v>2.4100988010637973E-2</v>
      </c>
      <c r="AA15" s="52">
        <f>$G15*'nutrient content'!P12</f>
        <v>0.26218967515538477</v>
      </c>
      <c r="AB15" s="52">
        <f>$G15*'nutrient content'!Q12</f>
        <v>1.7272294449916365E-2</v>
      </c>
      <c r="AC15" s="52">
        <f>$G15*'nutrient content'!R12</f>
        <v>7.7668065929134583E-2</v>
      </c>
      <c r="AD15" s="52">
        <f>$G15*'nutrient content'!S12</f>
        <v>0.12158933122747798</v>
      </c>
      <c r="AE15" s="52">
        <f>$G15*'nutrient content'!T12</f>
        <v>3.6790066389608951</v>
      </c>
      <c r="AF15" s="52">
        <f>$G15*'nutrient content'!U12</f>
        <v>0.21872397991230519</v>
      </c>
      <c r="AG15" s="52">
        <f>$G15*'nutrient content'!V12</f>
        <v>2.7744109394675447</v>
      </c>
      <c r="AH15" s="52">
        <f>$G15*'nutrient content'!W12</f>
        <v>0.26173090159868095</v>
      </c>
      <c r="AI15" s="52">
        <f>$G15*'nutrient content'!AB12</f>
        <v>7.1880665736683391E-2</v>
      </c>
      <c r="AJ15" s="52">
        <f>$G15*'nutrient content'!AC12</f>
        <v>2.9146399567343649E-4</v>
      </c>
      <c r="AK15" s="52">
        <f>$G15*'nutrient content'!AD12</f>
        <v>5.4932041988509127E-5</v>
      </c>
      <c r="AL15" s="52">
        <f>$G15*'nutrient content'!AE12</f>
        <v>4.6356680767288549E-3</v>
      </c>
      <c r="AM15" s="52">
        <f>$G15*'nutrient content'!AF12</f>
        <v>0.26813071919275255</v>
      </c>
      <c r="AN15" s="52">
        <f>$G15*'nutrient content'!AG12</f>
        <v>4.0534038220744431E-2</v>
      </c>
      <c r="AO15" s="52">
        <f>$G15*'nutrient content'!AH12</f>
        <v>6.926524720035931</v>
      </c>
      <c r="AP15" s="52">
        <f>$G15*'nutrient content'!AI12</f>
        <v>0</v>
      </c>
      <c r="AQ15" s="52">
        <f>$G15*'nutrient content'!AJ12</f>
        <v>1.3921652321066752E-5</v>
      </c>
      <c r="AR15" s="52">
        <f>$G15*'nutrient content'!AK12</f>
        <v>0</v>
      </c>
      <c r="AS15" s="52">
        <f>$G15*'nutrient content'!AL12</f>
        <v>0</v>
      </c>
      <c r="AT15" s="52">
        <f>$G15*'nutrient content'!AM12</f>
        <v>0</v>
      </c>
      <c r="AU15" s="52">
        <f>$G15*'nutrient content'!AN12</f>
        <v>2.7754234335236968E-4</v>
      </c>
      <c r="AV15" s="52">
        <f>$G15*'nutrient content'!AO12</f>
        <v>5.4932041988509127E-5</v>
      </c>
    </row>
    <row r="16" spans="1:48" x14ac:dyDescent="0.2">
      <c r="A16" s="3" t="s">
        <v>571</v>
      </c>
      <c r="B16" s="52">
        <f>TFP!E27</f>
        <v>3.5482268455820497E-2</v>
      </c>
      <c r="C16" s="110">
        <f>HLOOKUP(TFP!$C$14,cost!$C$6:$S$64,cost!$A17,FALSE)</f>
        <v>1.5459206963840404</v>
      </c>
      <c r="D16" s="110">
        <f t="shared" si="0"/>
        <v>2.2952191880744398E-2</v>
      </c>
      <c r="E16" s="52">
        <f t="shared" si="1"/>
        <v>5.0600921398869436E-3</v>
      </c>
      <c r="F16" s="52">
        <f t="shared" si="2"/>
        <v>1.2650230349717359E-3</v>
      </c>
      <c r="G16" s="52">
        <f t="shared" si="3"/>
        <v>7.5500631186659203E-4</v>
      </c>
      <c r="H16" s="52">
        <f t="shared" si="4"/>
        <v>7.5500631186659201E-2</v>
      </c>
      <c r="I16" s="52">
        <f>calculations!G16*'nutrient content'!E13</f>
        <v>0.15999449140324862</v>
      </c>
      <c r="J16" s="52">
        <f>$G16*'nutrient content'!X13</f>
        <v>6.1873788512993334E-2</v>
      </c>
      <c r="K16" s="52">
        <f>$G16*'nutrient content'!Y13</f>
        <v>1.9834955257228403E-2</v>
      </c>
      <c r="L16" s="52">
        <f>$G16*'nutrient content'!Z13</f>
        <v>7.4772485179793194E-2</v>
      </c>
      <c r="M16" s="52">
        <f>$G16*'nutrient content'!AA13</f>
        <v>1.5011236154425674E-2</v>
      </c>
      <c r="N16" s="52">
        <f>$G16*'nutrient content'!B13</f>
        <v>3.7365002948407264E-2</v>
      </c>
      <c r="O16" s="52">
        <f>$G16*'nutrient content'!C13</f>
        <v>7.0475366811088541E-2</v>
      </c>
      <c r="P16" s="52">
        <f>$G16*'nutrient content'!D13</f>
        <v>9.4917612536536019E-5</v>
      </c>
      <c r="Q16" s="52">
        <f>$G16*'nutrient content'!F13</f>
        <v>2.3866004013267618E-4</v>
      </c>
      <c r="R16" s="52">
        <f>$G16*'nutrient content'!G13</f>
        <v>1.6196925136550289E-2</v>
      </c>
      <c r="S16" s="52">
        <f>$G16*'nutrient content'!H13</f>
        <v>1.1368214409975565E-3</v>
      </c>
      <c r="T16" s="52">
        <f>$G16*'nutrient content'!I13</f>
        <v>2.6904689859613858E-2</v>
      </c>
      <c r="U16" s="52">
        <f>$G16*'nutrient content'!J13</f>
        <v>2.8491563342206011E-3</v>
      </c>
      <c r="V16" s="52">
        <f>$G16*'nutrient content'!K13</f>
        <v>0.19540167877295639</v>
      </c>
      <c r="W16" s="52">
        <f>$G16*'nutrient content'!L13</f>
        <v>0.25597126039597751</v>
      </c>
      <c r="X16" s="52">
        <f>$G16*'nutrient content'!M13</f>
        <v>9.7188087254189529E-5</v>
      </c>
      <c r="Y16" s="52">
        <f>$G16*'nutrient content'!N13</f>
        <v>0.10237409767206544</v>
      </c>
      <c r="Z16" s="52">
        <f>$G16*'nutrient content'!O13</f>
        <v>1.3440146748500015E-4</v>
      </c>
      <c r="AA16" s="52">
        <f>$G16*'nutrient content'!P13</f>
        <v>1.5037735210675319E-3</v>
      </c>
      <c r="AB16" s="52">
        <f>$G16*'nutrient content'!Q13</f>
        <v>1.6622255367017315E-4</v>
      </c>
      <c r="AC16" s="52">
        <f>$G16*'nutrient content'!R13</f>
        <v>1.2227110373759925E-3</v>
      </c>
      <c r="AD16" s="52">
        <f>$G16*'nutrient content'!S13</f>
        <v>9.240474976305752E-4</v>
      </c>
      <c r="AE16" s="52">
        <f>$G16*'nutrient content'!T13</f>
        <v>3.4419037566763178E-2</v>
      </c>
      <c r="AF16" s="52">
        <f>$G16*'nutrient content'!U13</f>
        <v>7.7123887120651409E-4</v>
      </c>
      <c r="AG16" s="52">
        <f>$G16*'nutrient content'!V13</f>
        <v>1.8974275716993751E-2</v>
      </c>
      <c r="AH16" s="52">
        <f>$G16*'nutrient content'!W13</f>
        <v>2.1040699132635087E-3</v>
      </c>
      <c r="AI16" s="52">
        <f>$G16*'nutrient content'!AB13</f>
        <v>3.5990682124773654E-4</v>
      </c>
      <c r="AJ16" s="52">
        <f>$G16*'nutrient content'!AC13</f>
        <v>0</v>
      </c>
      <c r="AK16" s="52">
        <f>$G16*'nutrient content'!AD13</f>
        <v>4.0273551551774947E-6</v>
      </c>
      <c r="AL16" s="52">
        <f>$G16*'nutrient content'!AE13</f>
        <v>4.9530913151127748E-6</v>
      </c>
      <c r="AM16" s="52">
        <f>$G16*'nutrient content'!AF13</f>
        <v>2.1089126291863238E-3</v>
      </c>
      <c r="AN16" s="52">
        <f>$G16*'nutrient content'!AG13</f>
        <v>1.4785972854350251E-4</v>
      </c>
      <c r="AO16" s="52">
        <f>$G16*'nutrient content'!AH13</f>
        <v>4.115359548255703E-2</v>
      </c>
      <c r="AP16" s="52">
        <f>$G16*'nutrient content'!AI13</f>
        <v>0</v>
      </c>
      <c r="AQ16" s="52">
        <f>$G16*'nutrient content'!AJ13</f>
        <v>0</v>
      </c>
      <c r="AR16" s="52">
        <f>$G16*'nutrient content'!AK13</f>
        <v>0</v>
      </c>
      <c r="AS16" s="52">
        <f>$G16*'nutrient content'!AL13</f>
        <v>0</v>
      </c>
      <c r="AT16" s="52">
        <f>$G16*'nutrient content'!AM13</f>
        <v>0</v>
      </c>
      <c r="AU16" s="52">
        <f>$G16*'nutrient content'!AN13</f>
        <v>0</v>
      </c>
      <c r="AV16" s="52">
        <f>$G16*'nutrient content'!AO13</f>
        <v>4.0273551551774947E-6</v>
      </c>
    </row>
    <row r="17" spans="1:48" x14ac:dyDescent="0.2">
      <c r="A17" s="3" t="s">
        <v>450</v>
      </c>
      <c r="B17" s="52">
        <f>TFP!E28</f>
        <v>2.6544214037336884</v>
      </c>
      <c r="C17" s="110">
        <f>HLOOKUP(TFP!$C$14,cost!$C$6:$S$64,cost!$A18,FALSE)</f>
        <v>0.47324420447983573</v>
      </c>
      <c r="D17" s="110">
        <f t="shared" si="0"/>
        <v>5.6089887178888622</v>
      </c>
      <c r="E17" s="52">
        <f t="shared" si="1"/>
        <v>1.2365703402782584</v>
      </c>
      <c r="F17" s="52">
        <f t="shared" si="2"/>
        <v>0.3091425850695646</v>
      </c>
      <c r="G17" s="52">
        <f t="shared" si="3"/>
        <v>0.18450620782529153</v>
      </c>
      <c r="H17" s="52">
        <f t="shared" si="4"/>
        <v>18.450620782529153</v>
      </c>
      <c r="I17" s="52">
        <f>calculations!G17*'nutrient content'!E14</f>
        <v>15.065644751659798</v>
      </c>
      <c r="J17" s="52">
        <f>$G17*'nutrient content'!X14</f>
        <v>8.7315559758533308</v>
      </c>
      <c r="K17" s="52">
        <f>$G17*'nutrient content'!Y14</f>
        <v>2.4489701831983335</v>
      </c>
      <c r="L17" s="52">
        <f>$G17*'nutrient content'!Z14</f>
        <v>3.444008883199194</v>
      </c>
      <c r="M17" s="52">
        <f>$G17*'nutrient content'!AA14</f>
        <v>1.058743109238574</v>
      </c>
      <c r="N17" s="52">
        <f>$G17*'nutrient content'!B14</f>
        <v>6.9642296460372881</v>
      </c>
      <c r="O17" s="52">
        <f>$G17*'nutrient content'!C14</f>
        <v>3.575239795245456</v>
      </c>
      <c r="P17" s="52">
        <f>$G17*'nutrient content'!D14</f>
        <v>1.1852056397188233E-2</v>
      </c>
      <c r="Q17" s="52">
        <f>$G17*'nutrient content'!F14</f>
        <v>5.8357617429762254E-2</v>
      </c>
      <c r="R17" s="52">
        <f>$G17*'nutrient content'!G14</f>
        <v>1.4948578379127786</v>
      </c>
      <c r="S17" s="52">
        <f>$G17*'nutrient content'!H14</f>
        <v>0.17192430865318634</v>
      </c>
      <c r="T17" s="52">
        <f>$G17*'nutrient content'!I14</f>
        <v>3.2290260978611909</v>
      </c>
      <c r="U17" s="52">
        <f>$G17*'nutrient content'!J14</f>
        <v>0.87983882390797274</v>
      </c>
      <c r="V17" s="52">
        <f>$G17*'nutrient content'!K14</f>
        <v>19.688498012765624</v>
      </c>
      <c r="W17" s="52">
        <f>$G17*'nutrient content'!L14</f>
        <v>34.668932933825936</v>
      </c>
      <c r="X17" s="52">
        <f>$G17*'nutrient content'!M14</f>
        <v>1.4155096692947683E-2</v>
      </c>
      <c r="Y17" s="52">
        <f>$G17*'nutrient content'!N14</f>
        <v>57.806728589136114</v>
      </c>
      <c r="Z17" s="52">
        <f>$G17*'nutrient content'!O14</f>
        <v>6.3747930148571408E-3</v>
      </c>
      <c r="AA17" s="52">
        <f>$G17*'nutrient content'!P14</f>
        <v>0.4992596186869836</v>
      </c>
      <c r="AB17" s="52">
        <f>$G17*'nutrient content'!Q14</f>
        <v>2.8482270551413211E-2</v>
      </c>
      <c r="AC17" s="52">
        <f>$G17*'nutrient content'!R14</f>
        <v>0.29211279628779108</v>
      </c>
      <c r="AD17" s="52">
        <f>$G17*'nutrient content'!S14</f>
        <v>6.8280832569184338E-2</v>
      </c>
      <c r="AE17" s="52">
        <f>$G17*'nutrient content'!T14</f>
        <v>3.7739922849904368</v>
      </c>
      <c r="AF17" s="52">
        <f>$G17*'nutrient content'!U14</f>
        <v>8.8888314066992616E-2</v>
      </c>
      <c r="AG17" s="52">
        <f>$G17*'nutrient content'!V14</f>
        <v>0.52865028904468603</v>
      </c>
      <c r="AH17" s="52">
        <f>$G17*'nutrient content'!W14</f>
        <v>4.9970459599787777E-2</v>
      </c>
      <c r="AI17" s="52">
        <f>$G17*'nutrient content'!AB14</f>
        <v>2.0055134515319425E-2</v>
      </c>
      <c r="AJ17" s="52">
        <f>$G17*'nutrient content'!AC14</f>
        <v>1.9501193183823054E-2</v>
      </c>
      <c r="AK17" s="52">
        <f>$G17*'nutrient content'!AD14</f>
        <v>0</v>
      </c>
      <c r="AL17" s="52">
        <f>$G17*'nutrient content'!AE14</f>
        <v>5.4436225731460215E-3</v>
      </c>
      <c r="AM17" s="52">
        <f>$G17*'nutrient content'!AF14</f>
        <v>0.28644160725178086</v>
      </c>
      <c r="AN17" s="52">
        <f>$G17*'nutrient content'!AG14</f>
        <v>6.5561717840039141E-2</v>
      </c>
      <c r="AO17" s="52">
        <f>$G17*'nutrient content'!AH14</f>
        <v>1.3233350780141977</v>
      </c>
      <c r="AP17" s="52">
        <f>$G17*'nutrient content'!AI14</f>
        <v>0</v>
      </c>
      <c r="AQ17" s="52">
        <f>$G17*'nutrient content'!AJ14</f>
        <v>1.3901309226623843E-3</v>
      </c>
      <c r="AR17" s="52">
        <f>$G17*'nutrient content'!AK14</f>
        <v>0</v>
      </c>
      <c r="AS17" s="52">
        <f>$G17*'nutrient content'!AL14</f>
        <v>0</v>
      </c>
      <c r="AT17" s="52">
        <f>$G17*'nutrient content'!AM14</f>
        <v>9.439234104644232E-3</v>
      </c>
      <c r="AU17" s="52">
        <f>$G17*'nutrient content'!AN14</f>
        <v>8.6997701445361217E-3</v>
      </c>
      <c r="AV17" s="52">
        <f>$G17*'nutrient content'!AO14</f>
        <v>0</v>
      </c>
    </row>
    <row r="18" spans="1:48" x14ac:dyDescent="0.2">
      <c r="A18" s="3" t="s">
        <v>451</v>
      </c>
      <c r="B18" s="52">
        <f>TFP!E29</f>
        <v>7.6561875247838376E-2</v>
      </c>
      <c r="C18" s="110">
        <f>HLOOKUP(TFP!$C$14,cost!$C$6:$S$64,cost!$A19,FALSE)</f>
        <v>2.3168639628268135</v>
      </c>
      <c r="D18" s="110">
        <f t="shared" si="0"/>
        <v>3.3045477195141393E-2</v>
      </c>
      <c r="E18" s="52">
        <f t="shared" si="1"/>
        <v>7.2852806513102868E-3</v>
      </c>
      <c r="F18" s="52">
        <f t="shared" si="2"/>
        <v>1.8213201628275717E-3</v>
      </c>
      <c r="G18" s="52">
        <f t="shared" si="3"/>
        <v>1.087022276155967E-3</v>
      </c>
      <c r="H18" s="52">
        <f t="shared" si="4"/>
        <v>0.1087022276155967</v>
      </c>
      <c r="I18" s="52">
        <f>calculations!G18*'nutrient content'!E15</f>
        <v>0.1419994293643177</v>
      </c>
      <c r="J18" s="52">
        <f>$G18*'nutrient content'!X15</f>
        <v>0.10045697690235807</v>
      </c>
      <c r="K18" s="52">
        <f>$G18*'nutrient content'!Y15</f>
        <v>1.9901747825550667E-3</v>
      </c>
      <c r="L18" s="52">
        <f>$G18*'nutrient content'!Z15</f>
        <v>3.2986020295704979E-2</v>
      </c>
      <c r="M18" s="52">
        <f>$G18*'nutrient content'!AA15</f>
        <v>6.5426997139726769E-3</v>
      </c>
      <c r="N18" s="52">
        <f>$G18*'nutrient content'!B15</f>
        <v>7.8581744677590201E-2</v>
      </c>
      <c r="O18" s="52">
        <f>$G18*'nutrient content'!C15</f>
        <v>0.13008212360137639</v>
      </c>
      <c r="P18" s="52">
        <f>$G18*'nutrient content'!D15</f>
        <v>3.5127676210459214E-4</v>
      </c>
      <c r="Q18" s="52">
        <f>$G18*'nutrient content'!F15</f>
        <v>4.0292641474165574E-6</v>
      </c>
      <c r="R18" s="52">
        <f>$G18*'nutrient content'!G15</f>
        <v>1.8252026400924066E-2</v>
      </c>
      <c r="S18" s="52">
        <f>$G18*'nutrient content'!H15</f>
        <v>1.8501371082422005E-3</v>
      </c>
      <c r="T18" s="52">
        <f>$G18*'nutrient content'!I15</f>
        <v>4.6164795170756723E-2</v>
      </c>
      <c r="U18" s="52">
        <f>$G18*'nutrient content'!J15</f>
        <v>4.8881545724929224E-3</v>
      </c>
      <c r="V18" s="52">
        <f>$G18*'nutrient content'!K15</f>
        <v>0.27015741508236707</v>
      </c>
      <c r="W18" s="52">
        <f>$G18*'nutrient content'!L15</f>
        <v>0.33279726623912453</v>
      </c>
      <c r="X18" s="52">
        <f>$G18*'nutrient content'!M15</f>
        <v>1.0829306371496511E-4</v>
      </c>
      <c r="Y18" s="52">
        <f>$G18*'nutrient content'!N15</f>
        <v>0.45977245820179957</v>
      </c>
      <c r="Z18" s="52">
        <f>$G18*'nutrient content'!O15</f>
        <v>7.9794405414270042E-5</v>
      </c>
      <c r="AA18" s="52">
        <f>$G18*'nutrient content'!P15</f>
        <v>2.9601318649763635E-3</v>
      </c>
      <c r="AB18" s="52">
        <f>$G18*'nutrient content'!Q15</f>
        <v>1.9173618381381586E-4</v>
      </c>
      <c r="AC18" s="52">
        <f>$G18*'nutrient content'!R15</f>
        <v>1.4592313746212163E-3</v>
      </c>
      <c r="AD18" s="52">
        <f>$G18*'nutrient content'!S15</f>
        <v>1.5518269743856937E-3</v>
      </c>
      <c r="AE18" s="52">
        <f>$G18*'nutrient content'!T15</f>
        <v>3.8790152076241292E-2</v>
      </c>
      <c r="AF18" s="52">
        <f>$G18*'nutrient content'!U15</f>
        <v>1.9674377942143048E-3</v>
      </c>
      <c r="AG18" s="52">
        <f>$G18*'nutrient content'!V15</f>
        <v>2.7858574604299495E-3</v>
      </c>
      <c r="AH18" s="52">
        <f>$G18*'nutrient content'!W15</f>
        <v>4.6965196573329365E-4</v>
      </c>
      <c r="AI18" s="52">
        <f>$G18*'nutrient content'!AB15</f>
        <v>4.5961816129580687E-6</v>
      </c>
      <c r="AJ18" s="52">
        <f>$G18*'nutrient content'!AC15</f>
        <v>0</v>
      </c>
      <c r="AK18" s="52">
        <f>$G18*'nutrient content'!AD15</f>
        <v>2.0516634044822125E-6</v>
      </c>
      <c r="AL18" s="52">
        <f>$G18*'nutrient content'!AE15</f>
        <v>4.7948243354257053E-8</v>
      </c>
      <c r="AM18" s="52">
        <f>$G18*'nutrient content'!AF15</f>
        <v>3.7671143078759116E-3</v>
      </c>
      <c r="AN18" s="52">
        <f>$G18*'nutrient content'!AG15</f>
        <v>2.2939037533044576E-4</v>
      </c>
      <c r="AO18" s="52">
        <f>$G18*'nutrient content'!AH15</f>
        <v>2.8088982829478902E-3</v>
      </c>
      <c r="AP18" s="52">
        <f>$G18*'nutrient content'!AI15</f>
        <v>0</v>
      </c>
      <c r="AQ18" s="52">
        <f>$G18*'nutrient content'!AJ15</f>
        <v>0</v>
      </c>
      <c r="AR18" s="52">
        <f>$G18*'nutrient content'!AK15</f>
        <v>0</v>
      </c>
      <c r="AS18" s="52">
        <f>$G18*'nutrient content'!AL15</f>
        <v>0</v>
      </c>
      <c r="AT18" s="52">
        <f>$G18*'nutrient content'!AM15</f>
        <v>0</v>
      </c>
      <c r="AU18" s="52">
        <f>$G18*'nutrient content'!AN15</f>
        <v>0</v>
      </c>
      <c r="AV18" s="52">
        <f>$G18*'nutrient content'!AO15</f>
        <v>2.0516634044822125E-6</v>
      </c>
    </row>
    <row r="19" spans="1:48" x14ac:dyDescent="0.2">
      <c r="A19" s="3" t="s">
        <v>452</v>
      </c>
      <c r="B19" s="52">
        <f>TFP!E30</f>
        <v>2.0603885172624154E-3</v>
      </c>
      <c r="C19" s="110">
        <f>HLOOKUP(TFP!$C$14,cost!$C$6:$S$64,cost!$A20,FALSE)</f>
        <v>0.50846381563008936</v>
      </c>
      <c r="D19" s="110">
        <f t="shared" si="0"/>
        <v>4.0521831719906717E-3</v>
      </c>
      <c r="E19" s="52">
        <f t="shared" si="1"/>
        <v>8.9335346813539844E-4</v>
      </c>
      <c r="F19" s="52">
        <f t="shared" si="2"/>
        <v>2.2333836703384961E-4</v>
      </c>
      <c r="G19" s="52">
        <f t="shared" si="3"/>
        <v>1.3329549907864052E-4</v>
      </c>
      <c r="H19" s="52">
        <f t="shared" si="4"/>
        <v>1.3329549907864053E-2</v>
      </c>
      <c r="I19" s="52">
        <f>calculations!G19*'nutrient content'!E16</f>
        <v>3.488739691131329E-2</v>
      </c>
      <c r="J19" s="52">
        <f>$G19*'nutrient content'!X16</f>
        <v>1.2213530805124131E-2</v>
      </c>
      <c r="K19" s="52">
        <f>$G19*'nutrient content'!Y16</f>
        <v>3.6810223157406779E-3</v>
      </c>
      <c r="L19" s="52">
        <f>$G19*'nutrient content'!Z16</f>
        <v>1.8191220048997585E-2</v>
      </c>
      <c r="M19" s="52">
        <f>$G19*'nutrient content'!AA16</f>
        <v>4.3006890585988609E-3</v>
      </c>
      <c r="N19" s="52">
        <f>$G19*'nutrient content'!B16</f>
        <v>2.3189224902617472E-3</v>
      </c>
      <c r="O19" s="52">
        <f>$G19*'nutrient content'!C16</f>
        <v>1.3205780675579145E-2</v>
      </c>
      <c r="P19" s="52">
        <f>$G19*'nutrient content'!D16</f>
        <v>1.2050575704302162E-5</v>
      </c>
      <c r="Q19" s="52">
        <f>$G19*'nutrient content'!F16</f>
        <v>3.1481079420095391E-5</v>
      </c>
      <c r="R19" s="52">
        <f>$G19*'nutrient content'!G16</f>
        <v>4.3805929746251679E-3</v>
      </c>
      <c r="S19" s="52">
        <f>$G19*'nutrient content'!H16</f>
        <v>2.2499296631846687E-4</v>
      </c>
      <c r="T19" s="52">
        <f>$G19*'nutrient content'!I16</f>
        <v>2.8157120683510693E-3</v>
      </c>
      <c r="U19" s="52">
        <f>$G19*'nutrient content'!J16</f>
        <v>7.503947636528696E-4</v>
      </c>
      <c r="V19" s="52">
        <f>$G19*'nutrient content'!K16</f>
        <v>2.1341797287213499E-2</v>
      </c>
      <c r="W19" s="52">
        <f>$G19*'nutrient content'!L16</f>
        <v>2.7416804385387756E-2</v>
      </c>
      <c r="X19" s="52">
        <f>$G19*'nutrient content'!M16</f>
        <v>3.3243924623319627E-5</v>
      </c>
      <c r="Y19" s="52">
        <f>$G19*'nutrient content'!N16</f>
        <v>1.0422093096258907E-2</v>
      </c>
      <c r="Z19" s="52">
        <f>$G19*'nutrient content'!O16</f>
        <v>1.5069251298875512E-5</v>
      </c>
      <c r="AA19" s="52">
        <f>$G19*'nutrient content'!P16</f>
        <v>6.7996778599381248E-5</v>
      </c>
      <c r="AB19" s="52">
        <f>$G19*'nutrient content'!Q16</f>
        <v>3.7448275685887745E-5</v>
      </c>
      <c r="AC19" s="52">
        <f>$G19*'nutrient content'!R16</f>
        <v>3.5180578038678092E-5</v>
      </c>
      <c r="AD19" s="52">
        <f>$G19*'nutrient content'!S16</f>
        <v>7.089723478775278E-5</v>
      </c>
      <c r="AE19" s="52">
        <f>$G19*'nutrient content'!T16</f>
        <v>1.0343123119339109E-2</v>
      </c>
      <c r="AF19" s="52">
        <f>$G19*'nutrient content'!U16</f>
        <v>3.005840403004301E-4</v>
      </c>
      <c r="AG19" s="52">
        <f>$G19*'nutrient content'!V16</f>
        <v>4.510947303707295E-3</v>
      </c>
      <c r="AH19" s="52">
        <f>$G19*'nutrient content'!W16</f>
        <v>3.3184828196260597E-4</v>
      </c>
      <c r="AI19" s="52">
        <f>$G19*'nutrient content'!AB16</f>
        <v>7.367132995403288E-5</v>
      </c>
      <c r="AJ19" s="52">
        <f>$G19*'nutrient content'!AC16</f>
        <v>0</v>
      </c>
      <c r="AK19" s="52">
        <f>$G19*'nutrient content'!AD16</f>
        <v>0</v>
      </c>
      <c r="AL19" s="52">
        <f>$G19*'nutrient content'!AE16</f>
        <v>8.0034252535236802E-7</v>
      </c>
      <c r="AM19" s="52">
        <f>$G19*'nutrient content'!AF16</f>
        <v>3.5533983121363994E-4</v>
      </c>
      <c r="AN19" s="52">
        <f>$G19*'nutrient content'!AG16</f>
        <v>0</v>
      </c>
      <c r="AO19" s="52">
        <f>$G19*'nutrient content'!AH16</f>
        <v>8.489469306362742E-3</v>
      </c>
      <c r="AP19" s="52">
        <f>$G19*'nutrient content'!AI16</f>
        <v>0</v>
      </c>
      <c r="AQ19" s="52">
        <f>$G19*'nutrient content'!AJ16</f>
        <v>0</v>
      </c>
      <c r="AR19" s="52">
        <f>$G19*'nutrient content'!AK16</f>
        <v>0</v>
      </c>
      <c r="AS19" s="52">
        <f>$G19*'nutrient content'!AL16</f>
        <v>0</v>
      </c>
      <c r="AT19" s="52">
        <f>$G19*'nutrient content'!AM16</f>
        <v>0</v>
      </c>
      <c r="AU19" s="52">
        <f>$G19*'nutrient content'!AN16</f>
        <v>0</v>
      </c>
      <c r="AV19" s="52">
        <f>$G19*'nutrient content'!AO16</f>
        <v>0</v>
      </c>
    </row>
    <row r="20" spans="1:48" x14ac:dyDescent="0.2">
      <c r="A20" s="3" t="s">
        <v>453</v>
      </c>
      <c r="B20" s="52">
        <f>TFP!E31</f>
        <v>9.6926134798603486E-3</v>
      </c>
      <c r="C20" s="110">
        <f>HLOOKUP(TFP!$C$14,cost!$C$6:$S$64,cost!$A21,FALSE)</f>
        <v>0.8033855389418938</v>
      </c>
      <c r="D20" s="110">
        <f t="shared" si="0"/>
        <v>1.2064709918261775E-2</v>
      </c>
      <c r="E20" s="52">
        <f t="shared" si="1"/>
        <v>2.6598132389538259E-3</v>
      </c>
      <c r="F20" s="52">
        <f t="shared" si="2"/>
        <v>6.6495330973845648E-4</v>
      </c>
      <c r="G20" s="52">
        <f t="shared" si="3"/>
        <v>3.9686545783755844E-4</v>
      </c>
      <c r="H20" s="52">
        <f t="shared" si="4"/>
        <v>3.9686545783755842E-2</v>
      </c>
      <c r="I20" s="52">
        <f>calculations!G20*'nutrient content'!E17</f>
        <v>0.10550685116934698</v>
      </c>
      <c r="J20" s="52">
        <f>$G20*'nutrient content'!X17</f>
        <v>3.9298487185291157E-2</v>
      </c>
      <c r="K20" s="52">
        <f>$G20*'nutrient content'!Y17</f>
        <v>8.9336503242645714E-3</v>
      </c>
      <c r="L20" s="52">
        <f>$G20*'nutrient content'!Z17</f>
        <v>5.4827982157889837E-2</v>
      </c>
      <c r="M20" s="52">
        <f>$G20*'nutrient content'!AA17</f>
        <v>1.3423793248748053E-2</v>
      </c>
      <c r="N20" s="52">
        <f>$G20*'nutrient content'!B17</f>
        <v>6.8137640910374353E-3</v>
      </c>
      <c r="O20" s="52">
        <f>$G20*'nutrient content'!C17</f>
        <v>3.3741607603539531E-2</v>
      </c>
      <c r="P20" s="52">
        <f>$G20*'nutrient content'!D17</f>
        <v>2.9034735675992137E-5</v>
      </c>
      <c r="Q20" s="52">
        <f>$G20*'nutrient content'!F17</f>
        <v>7.7511790190521235E-5</v>
      </c>
      <c r="R20" s="52">
        <f>$G20*'nutrient content'!G17</f>
        <v>7.2481432851909085E-3</v>
      </c>
      <c r="S20" s="52">
        <f>$G20*'nutrient content'!H17</f>
        <v>5.5697727098453565E-4</v>
      </c>
      <c r="T20" s="52">
        <f>$G20*'nutrient content'!I17</f>
        <v>8.7253263759928083E-3</v>
      </c>
      <c r="U20" s="52">
        <f>$G20*'nutrient content'!J17</f>
        <v>3.0348129551925874E-3</v>
      </c>
      <c r="V20" s="52">
        <f>$G20*'nutrient content'!K17</f>
        <v>6.6356699559136201E-2</v>
      </c>
      <c r="W20" s="52">
        <f>$G20*'nutrient content'!L17</f>
        <v>8.2487622569809418E-2</v>
      </c>
      <c r="X20" s="52">
        <f>$G20*'nutrient content'!M17</f>
        <v>6.8685143400386885E-5</v>
      </c>
      <c r="Y20" s="52">
        <f>$G20*'nutrient content'!N17</f>
        <v>3.5119873843968814E-2</v>
      </c>
      <c r="Z20" s="52">
        <f>$G20*'nutrient content'!O17</f>
        <v>3.953714295011853E-5</v>
      </c>
      <c r="AA20" s="52">
        <f>$G20*'nutrient content'!P17</f>
        <v>1.1182540156854028E-4</v>
      </c>
      <c r="AB20" s="52">
        <f>$G20*'nutrient content'!Q17</f>
        <v>1.5491957822360645E-4</v>
      </c>
      <c r="AC20" s="52">
        <f>$G20*'nutrient content'!R17</f>
        <v>3.662231445608109E-6</v>
      </c>
      <c r="AD20" s="52">
        <f>$G20*'nutrient content'!S17</f>
        <v>1.9545735072047687E-4</v>
      </c>
      <c r="AE20" s="52">
        <f>$G20*'nutrient content'!T17</f>
        <v>1.3363644107986343E-2</v>
      </c>
      <c r="AF20" s="52">
        <f>$G20*'nutrient content'!U17</f>
        <v>6.6049617244768699E-4</v>
      </c>
      <c r="AG20" s="52">
        <f>$G20*'nutrient content'!V17</f>
        <v>1.2698770601348337E-2</v>
      </c>
      <c r="AH20" s="52">
        <f>$G20*'nutrient content'!W17</f>
        <v>9.2877328735862987E-4</v>
      </c>
      <c r="AI20" s="52">
        <f>$G20*'nutrient content'!AB17</f>
        <v>1.7854410666862108E-4</v>
      </c>
      <c r="AJ20" s="52">
        <f>$G20*'nutrient content'!AC17</f>
        <v>0</v>
      </c>
      <c r="AK20" s="52">
        <f>$G20*'nutrient content'!AD17</f>
        <v>2.0111540677766427E-8</v>
      </c>
      <c r="AL20" s="52">
        <f>$G20*'nutrient content'!AE17</f>
        <v>1.9051108784858971E-6</v>
      </c>
      <c r="AM20" s="52">
        <f>$G20*'nutrient content'!AF17</f>
        <v>1.0856833413658957E-3</v>
      </c>
      <c r="AN20" s="52">
        <f>$G20*'nutrient content'!AG17</f>
        <v>3.6524306700447979E-6</v>
      </c>
      <c r="AO20" s="52">
        <f>$G20*'nutrient content'!AH17</f>
        <v>2.8019654741920377E-2</v>
      </c>
      <c r="AP20" s="52">
        <f>$G20*'nutrient content'!AI17</f>
        <v>0</v>
      </c>
      <c r="AQ20" s="52">
        <f>$G20*'nutrient content'!AJ17</f>
        <v>0</v>
      </c>
      <c r="AR20" s="52">
        <f>$G20*'nutrient content'!AK17</f>
        <v>0</v>
      </c>
      <c r="AS20" s="52">
        <f>$G20*'nutrient content'!AL17</f>
        <v>0</v>
      </c>
      <c r="AT20" s="52">
        <f>$G20*'nutrient content'!AM17</f>
        <v>0</v>
      </c>
      <c r="AU20" s="52">
        <f>$G20*'nutrient content'!AN17</f>
        <v>0</v>
      </c>
      <c r="AV20" s="52">
        <f>$G20*'nutrient content'!AO17</f>
        <v>2.0111540677766427E-8</v>
      </c>
    </row>
    <row r="21" spans="1:48" x14ac:dyDescent="0.2">
      <c r="A21" s="3" t="s">
        <v>445</v>
      </c>
      <c r="B21" s="52">
        <f>TFP!E32</f>
        <v>14.314016521031771</v>
      </c>
      <c r="C21" s="110">
        <f>HLOOKUP(TFP!$C$14,cost!$C$6:$S$64,cost!$A22,FALSE)</f>
        <v>0.55885897676392315</v>
      </c>
      <c r="D21" s="110">
        <f t="shared" si="0"/>
        <v>25.612931197629113</v>
      </c>
      <c r="E21" s="52">
        <f t="shared" si="1"/>
        <v>5.6466847482796831</v>
      </c>
      <c r="F21" s="52">
        <f t="shared" si="2"/>
        <v>1.4116711870699208</v>
      </c>
      <c r="G21" s="52">
        <f t="shared" si="3"/>
        <v>0.84253063150095775</v>
      </c>
      <c r="H21" s="52">
        <f t="shared" si="4"/>
        <v>84.25306315009577</v>
      </c>
      <c r="I21" s="52">
        <f>calculations!G21*'nutrient content'!E18</f>
        <v>135.70098693726823</v>
      </c>
      <c r="J21" s="52">
        <f>$G21*'nutrient content'!X18</f>
        <v>78.042994561549108</v>
      </c>
      <c r="K21" s="52">
        <f>$G21*'nutrient content'!Y18</f>
        <v>5.4554659718464125</v>
      </c>
      <c r="L21" s="52">
        <f>$G21*'nutrient content'!Z18</f>
        <v>48.068207997973566</v>
      </c>
      <c r="M21" s="52">
        <f>$G21*'nutrient content'!AA18</f>
        <v>13.501652234358053</v>
      </c>
      <c r="N21" s="52">
        <f>$G21*'nutrient content'!B18</f>
        <v>13.167582609503135</v>
      </c>
      <c r="O21" s="52">
        <f>$G21*'nutrient content'!C18</f>
        <v>114.32671257712489</v>
      </c>
      <c r="P21" s="52">
        <f>$G21*'nutrient content'!D18</f>
        <v>9.7286210845214049E-2</v>
      </c>
      <c r="Q21" s="52">
        <f>$G21*'nutrient content'!F18</f>
        <v>0.17308944124802458</v>
      </c>
      <c r="R21" s="52">
        <f>$G21*'nutrient content'!G18</f>
        <v>27.245951598378142</v>
      </c>
      <c r="S21" s="52">
        <f>$G21*'nutrient content'!H18</f>
        <v>1.6899744156184742</v>
      </c>
      <c r="T21" s="52">
        <f>$G21*'nutrient content'!I18</f>
        <v>15.990138929312376</v>
      </c>
      <c r="U21" s="52">
        <f>$G21*'nutrient content'!J18</f>
        <v>4.053815743990504</v>
      </c>
      <c r="V21" s="52">
        <f>$G21*'nutrient content'!K18</f>
        <v>144.2123644598868</v>
      </c>
      <c r="W21" s="52">
        <f>$G21*'nutrient content'!L18</f>
        <v>204.80670947639823</v>
      </c>
      <c r="X21" s="52">
        <f>$G21*'nutrient content'!M18</f>
        <v>0.22708926552219239</v>
      </c>
      <c r="Y21" s="52">
        <f>$G21*'nutrient content'!N18</f>
        <v>99.316214110828369</v>
      </c>
      <c r="Z21" s="52">
        <f>$G21*'nutrient content'!O18</f>
        <v>5.7633691579698491E-2</v>
      </c>
      <c r="AA21" s="52">
        <f>$G21*'nutrient content'!P18</f>
        <v>0.90985467256404018</v>
      </c>
      <c r="AB21" s="52">
        <f>$G21*'nutrient content'!Q18</f>
        <v>0.25615942979784712</v>
      </c>
      <c r="AC21" s="52">
        <f>$G21*'nutrient content'!R18</f>
        <v>2.0810102532162271</v>
      </c>
      <c r="AD21" s="52">
        <f>$G21*'nutrient content'!S18</f>
        <v>0.24626962531028063</v>
      </c>
      <c r="AE21" s="52">
        <f>$G21*'nutrient content'!T18</f>
        <v>158.5193129810547</v>
      </c>
      <c r="AF21" s="52">
        <f>$G21*'nutrient content'!U18</f>
        <v>2.3543400345456136</v>
      </c>
      <c r="AG21" s="52">
        <f>$G21*'nutrient content'!V18</f>
        <v>9.1269569048700792</v>
      </c>
      <c r="AH21" s="52">
        <f>$G21*'nutrient content'!W18</f>
        <v>0.44591636504941584</v>
      </c>
      <c r="AI21" s="52">
        <f>$G21*'nutrient content'!AB18</f>
        <v>1.3833304080708192E-4</v>
      </c>
      <c r="AJ21" s="52">
        <f>$G21*'nutrient content'!AC18</f>
        <v>8.7701659252913261E-2</v>
      </c>
      <c r="AK21" s="52">
        <f>$G21*'nutrient content'!AD18</f>
        <v>0</v>
      </c>
      <c r="AL21" s="52">
        <f>$G21*'nutrient content'!AE18</f>
        <v>0</v>
      </c>
      <c r="AM21" s="52">
        <f>$G21*'nutrient content'!AF18</f>
        <v>2.4538218549421731</v>
      </c>
      <c r="AN21" s="52">
        <f>$G21*'nutrient content'!AG18</f>
        <v>0</v>
      </c>
      <c r="AO21" s="52">
        <f>$G21*'nutrient content'!AH18</f>
        <v>0.68318236562688162</v>
      </c>
      <c r="AP21" s="52">
        <f>$G21*'nutrient content'!AI18</f>
        <v>0</v>
      </c>
      <c r="AQ21" s="52">
        <f>$G21*'nutrient content'!AJ18</f>
        <v>0</v>
      </c>
      <c r="AR21" s="52">
        <f>$G21*'nutrient content'!AK18</f>
        <v>1.1042961487189661E-2</v>
      </c>
      <c r="AS21" s="52">
        <f>$G21*'nutrient content'!AL18</f>
        <v>0</v>
      </c>
      <c r="AT21" s="52">
        <f>$G21*'nutrient content'!AM18</f>
        <v>6.5615736278533926E-2</v>
      </c>
      <c r="AU21" s="52">
        <f>$G21*'nutrient content'!AN18</f>
        <v>1.1042961487189664E-2</v>
      </c>
      <c r="AV21" s="52">
        <f>$G21*'nutrient content'!AO18</f>
        <v>0</v>
      </c>
    </row>
    <row r="22" spans="1:48" x14ac:dyDescent="0.2">
      <c r="A22" s="3" t="s">
        <v>446</v>
      </c>
      <c r="B22" s="52">
        <f>TFP!E33</f>
        <v>4.4957482647643349E-2</v>
      </c>
      <c r="C22" s="110">
        <f>HLOOKUP(TFP!$C$14,cost!$C$6:$S$64,cost!$A23,FALSE)</f>
        <v>1.06673487970811</v>
      </c>
      <c r="D22" s="110">
        <f t="shared" si="0"/>
        <v>4.2144944824476949E-2</v>
      </c>
      <c r="E22" s="52">
        <f t="shared" si="1"/>
        <v>9.2913698678693812E-3</v>
      </c>
      <c r="F22" s="52">
        <f t="shared" si="2"/>
        <v>2.3228424669673453E-3</v>
      </c>
      <c r="G22" s="52">
        <f t="shared" si="3"/>
        <v>1.3863468692262154E-3</v>
      </c>
      <c r="H22" s="52">
        <f t="shared" si="4"/>
        <v>0.13863468692262154</v>
      </c>
      <c r="I22" s="52">
        <f>calculations!G22*'nutrient content'!E19</f>
        <v>0.31576236834793403</v>
      </c>
      <c r="J22" s="52">
        <f>$G22*'nutrient content'!X19</f>
        <v>0.1354349016862838</v>
      </c>
      <c r="K22" s="52">
        <f>$G22*'nutrient content'!Y19</f>
        <v>3.0487296340229657E-2</v>
      </c>
      <c r="L22" s="52">
        <f>$G22*'nutrient content'!Z19</f>
        <v>0.14277276331099248</v>
      </c>
      <c r="M22" s="52">
        <f>$G22*'nutrient content'!AA19</f>
        <v>3.4659414983681282E-2</v>
      </c>
      <c r="N22" s="52">
        <f>$G22*'nutrient content'!B19</f>
        <v>2.0290280189481466E-2</v>
      </c>
      <c r="O22" s="52">
        <f>$G22*'nutrient content'!C19</f>
        <v>0.1048220454549562</v>
      </c>
      <c r="P22" s="52">
        <f>$G22*'nutrient content'!D19</f>
        <v>8.7410021491750062E-5</v>
      </c>
      <c r="Q22" s="52">
        <f>$G22*'nutrient content'!F19</f>
        <v>0</v>
      </c>
      <c r="R22" s="52">
        <f>$G22*'nutrient content'!G19</f>
        <v>2.6855078350131102E-2</v>
      </c>
      <c r="S22" s="52">
        <f>$G22*'nutrient content'!H19</f>
        <v>1.5187859105776698E-3</v>
      </c>
      <c r="T22" s="52">
        <f>$G22*'nutrient content'!I19</f>
        <v>3.3677749804420523E-2</v>
      </c>
      <c r="U22" s="52">
        <f>$G22*'nutrient content'!J19</f>
        <v>1.1384091510099267E-2</v>
      </c>
      <c r="V22" s="52">
        <f>$G22*'nutrient content'!K19</f>
        <v>0.30902503648538132</v>
      </c>
      <c r="W22" s="52">
        <f>$G22*'nutrient content'!L19</f>
        <v>0.35574800910522691</v>
      </c>
      <c r="X22" s="52">
        <f>$G22*'nutrient content'!M19</f>
        <v>2.1062168734608424E-4</v>
      </c>
      <c r="Y22" s="52">
        <f>$G22*'nutrient content'!N19</f>
        <v>0.32157037026491747</v>
      </c>
      <c r="Z22" s="52">
        <f>$G22*'nutrient content'!O19</f>
        <v>1.1168709518717626E-4</v>
      </c>
      <c r="AA22" s="52">
        <f>$G22*'nutrient content'!P19</f>
        <v>4.1921063415347381E-4</v>
      </c>
      <c r="AB22" s="52">
        <f>$G22*'nutrient content'!Q19</f>
        <v>5.3753610484592147E-4</v>
      </c>
      <c r="AC22" s="52">
        <f>$G22*'nutrient content'!R19</f>
        <v>0</v>
      </c>
      <c r="AD22" s="52">
        <f>$G22*'nutrient content'!S19</f>
        <v>9.1268090848774588E-4</v>
      </c>
      <c r="AE22" s="52">
        <f>$G22*'nutrient content'!T19</f>
        <v>1.5001936721013676E-2</v>
      </c>
      <c r="AF22" s="52">
        <f>$G22*'nutrient content'!U19</f>
        <v>2.2556389621022264E-3</v>
      </c>
      <c r="AG22" s="52">
        <f>$G22*'nutrient content'!V19</f>
        <v>2.2513483274688266E-2</v>
      </c>
      <c r="AH22" s="52">
        <f>$G22*'nutrient content'!W19</f>
        <v>1.4832537272409512E-3</v>
      </c>
      <c r="AI22" s="52">
        <f>$G22*'nutrient content'!AB19</f>
        <v>5.8388157860143203E-4</v>
      </c>
      <c r="AJ22" s="52">
        <f>$G22*'nutrient content'!AC19</f>
        <v>0</v>
      </c>
      <c r="AK22" s="52">
        <f>$G22*'nutrient content'!AD19</f>
        <v>0</v>
      </c>
      <c r="AL22" s="52">
        <f>$G22*'nutrient content'!AE19</f>
        <v>0</v>
      </c>
      <c r="AM22" s="52">
        <f>$G22*'nutrient content'!AF19</f>
        <v>4.1285616796859171E-3</v>
      </c>
      <c r="AN22" s="52">
        <f>$G22*'nutrient content'!AG19</f>
        <v>8.4443543055470454E-3</v>
      </c>
      <c r="AO22" s="52">
        <f>$G22*'nutrient content'!AH19</f>
        <v>7.7769497685112364E-3</v>
      </c>
      <c r="AP22" s="52">
        <f>$G22*'nutrient content'!AI19</f>
        <v>0</v>
      </c>
      <c r="AQ22" s="52">
        <f>$G22*'nutrient content'!AJ19</f>
        <v>0</v>
      </c>
      <c r="AR22" s="52">
        <f>$G22*'nutrient content'!AK19</f>
        <v>0</v>
      </c>
      <c r="AS22" s="52">
        <f>$G22*'nutrient content'!AL19</f>
        <v>0</v>
      </c>
      <c r="AT22" s="52">
        <f>$G22*'nutrient content'!AM19</f>
        <v>0</v>
      </c>
      <c r="AU22" s="52">
        <f>$G22*'nutrient content'!AN19</f>
        <v>0</v>
      </c>
      <c r="AV22" s="52">
        <f>$G22*'nutrient content'!AO19</f>
        <v>0</v>
      </c>
    </row>
    <row r="23" spans="1:48" x14ac:dyDescent="0.2">
      <c r="A23" s="2" t="s">
        <v>578</v>
      </c>
      <c r="B23" s="52">
        <f>TFP!E34</f>
        <v>2.7601612600632879E-3</v>
      </c>
      <c r="C23" s="110">
        <f>HLOOKUP(TFP!$C$14,cost!$C$6:$S$64,cost!$A24,FALSE)</f>
        <v>0.66097686463507688</v>
      </c>
      <c r="D23" s="110">
        <f t="shared" si="0"/>
        <v>4.1758818012294025E-3</v>
      </c>
      <c r="E23" s="52">
        <f t="shared" si="1"/>
        <v>9.2062434774366837E-4</v>
      </c>
      <c r="F23" s="52">
        <f t="shared" si="2"/>
        <v>2.3015608693591709E-4</v>
      </c>
      <c r="G23" s="52">
        <f t="shared" si="3"/>
        <v>1.3736453293517771E-4</v>
      </c>
      <c r="H23" s="52">
        <f t="shared" si="4"/>
        <v>1.3736453293517772E-2</v>
      </c>
      <c r="I23" s="52">
        <f>calculations!G23*'nutrient content'!E20</f>
        <v>4.4727624534260269E-2</v>
      </c>
      <c r="J23" s="52">
        <f>$G23*'nutrient content'!X20</f>
        <v>8.064055054099158E-3</v>
      </c>
      <c r="K23" s="52">
        <f>$G23*'nutrient content'!Y20</f>
        <v>1.5135224658942203E-3</v>
      </c>
      <c r="L23" s="52">
        <f>$G23*'nutrient content'!Z20</f>
        <v>3.4656669867787773E-2</v>
      </c>
      <c r="M23" s="52">
        <f>$G23*'nutrient content'!AA20</f>
        <v>1.2753947661873006E-2</v>
      </c>
      <c r="N23" s="52">
        <f>$G23*'nutrient content'!B20</f>
        <v>3.3762322717363624E-3</v>
      </c>
      <c r="O23" s="52">
        <f>$G23*'nutrient content'!C20</f>
        <v>9.0985573759112676E-3</v>
      </c>
      <c r="P23" s="52">
        <f>$G23*'nutrient content'!D20</f>
        <v>1.6038556474407703E-5</v>
      </c>
      <c r="Q23" s="52">
        <f>$G23*'nutrient content'!F20</f>
        <v>4.390109258104116E-5</v>
      </c>
      <c r="R23" s="52">
        <f>$G23*'nutrient content'!G20</f>
        <v>6.0107074026830801E-4</v>
      </c>
      <c r="S23" s="52">
        <f>$G23*'nutrient content'!H20</f>
        <v>2.0447664863964025E-4</v>
      </c>
      <c r="T23" s="52">
        <f>$G23*'nutrient content'!I20</f>
        <v>2.0083001426933755E-3</v>
      </c>
      <c r="U23" s="52">
        <f>$G23*'nutrient content'!J20</f>
        <v>4.8175507464074676E-4</v>
      </c>
      <c r="V23" s="52">
        <f>$G23*'nutrient content'!K20</f>
        <v>1.9891985133454915E-2</v>
      </c>
      <c r="W23" s="52">
        <f>$G23*'nutrient content'!L20</f>
        <v>2.9913587437112935E-2</v>
      </c>
      <c r="X23" s="52">
        <f>$G23*'nutrient content'!M20</f>
        <v>2.6084884350624143E-5</v>
      </c>
      <c r="Y23" s="52">
        <f>$G23*'nutrient content'!N20</f>
        <v>0.13957608133763816</v>
      </c>
      <c r="Z23" s="52">
        <f>$G23*'nutrient content'!O20</f>
        <v>2.8940375397448818E-5</v>
      </c>
      <c r="AA23" s="52">
        <f>$G23*'nutrient content'!P20</f>
        <v>2.1890485747426704E-4</v>
      </c>
      <c r="AB23" s="52">
        <f>$G23*'nutrient content'!Q20</f>
        <v>2.791612938321543E-5</v>
      </c>
      <c r="AC23" s="52">
        <f>$G23*'nutrient content'!R20</f>
        <v>9.2777897791900186E-5</v>
      </c>
      <c r="AD23" s="52">
        <f>$G23*'nutrient content'!S20</f>
        <v>4.0450998713320696E-5</v>
      </c>
      <c r="AE23" s="52">
        <f>$G23*'nutrient content'!T20</f>
        <v>5.6421695164100213E-3</v>
      </c>
      <c r="AF23" s="52">
        <f>$G23*'nutrient content'!U20</f>
        <v>3.3290203760702588E-4</v>
      </c>
      <c r="AG23" s="52">
        <f>$G23*'nutrient content'!V20</f>
        <v>2.6060902597162938E-3</v>
      </c>
      <c r="AH23" s="52">
        <f>$G23*'nutrient content'!W20</f>
        <v>2.4229479645861124E-4</v>
      </c>
      <c r="AI23" s="52">
        <f>$G23*'nutrient content'!AB20</f>
        <v>1.429944594577448E-8</v>
      </c>
      <c r="AJ23" s="52">
        <f>$G23*'nutrient content'!AC20</f>
        <v>0</v>
      </c>
      <c r="AK23" s="52">
        <f>$G23*'nutrient content'!AD20</f>
        <v>0</v>
      </c>
      <c r="AL23" s="52">
        <f>$G23*'nutrient content'!AE20</f>
        <v>1.8608647830732036E-7</v>
      </c>
      <c r="AM23" s="52">
        <f>$G23*'nutrient content'!AF20</f>
        <v>3.8433257063855153E-4</v>
      </c>
      <c r="AN23" s="52">
        <f>$G23*'nutrient content'!AG20</f>
        <v>2.3974454541139941E-5</v>
      </c>
      <c r="AO23" s="52">
        <f>$G23*'nutrient content'!AH20</f>
        <v>2.3043624714930155E-2</v>
      </c>
      <c r="AP23" s="52">
        <f>$G23*'nutrient content'!AI20</f>
        <v>0</v>
      </c>
      <c r="AQ23" s="52">
        <f>$G23*'nutrient content'!AJ20</f>
        <v>0</v>
      </c>
      <c r="AR23" s="52">
        <f>$G23*'nutrient content'!AK20</f>
        <v>0</v>
      </c>
      <c r="AS23" s="52">
        <f>$G23*'nutrient content'!AL20</f>
        <v>0</v>
      </c>
      <c r="AT23" s="52">
        <f>$G23*'nutrient content'!AM20</f>
        <v>0</v>
      </c>
      <c r="AU23" s="52">
        <f>$G23*'nutrient content'!AN20</f>
        <v>0</v>
      </c>
      <c r="AV23" s="52">
        <f>$G23*'nutrient content'!AO20</f>
        <v>0</v>
      </c>
    </row>
    <row r="24" spans="1:48" x14ac:dyDescent="0.2">
      <c r="A24" s="3" t="s">
        <v>447</v>
      </c>
      <c r="B24" s="52">
        <f>TFP!E35</f>
        <v>2.2427883139873865E-2</v>
      </c>
      <c r="C24" s="110">
        <f>HLOOKUP(TFP!$C$14,cost!$C$6:$S$64,cost!$A25,FALSE)</f>
        <v>0.86904097486593124</v>
      </c>
      <c r="D24" s="110">
        <f t="shared" si="0"/>
        <v>2.5807624483222855E-2</v>
      </c>
      <c r="E24" s="52">
        <f t="shared" si="1"/>
        <v>5.6896072704178914E-3</v>
      </c>
      <c r="F24" s="52">
        <f t="shared" si="2"/>
        <v>1.4224018176044728E-3</v>
      </c>
      <c r="G24" s="52">
        <f t="shared" si="3"/>
        <v>8.4893501589548869E-4</v>
      </c>
      <c r="H24" s="52">
        <f t="shared" si="4"/>
        <v>8.4893501589548864E-2</v>
      </c>
      <c r="I24" s="52">
        <f>calculations!G24*'nutrient content'!E21</f>
        <v>0.14137187424540437</v>
      </c>
      <c r="J24" s="52">
        <f>$G24*'nutrient content'!X21</f>
        <v>6.1675696226584815E-2</v>
      </c>
      <c r="K24" s="52">
        <f>$G24*'nutrient content'!Y21</f>
        <v>1.0219010438235341E-2</v>
      </c>
      <c r="L24" s="52">
        <f>$G24*'nutrient content'!Z21</f>
        <v>6.6292659174251145E-2</v>
      </c>
      <c r="M24" s="52">
        <f>$G24*'nutrient content'!AA21</f>
        <v>2.1166990102770275E-2</v>
      </c>
      <c r="N24" s="52">
        <f>$G24*'nutrient content'!B21</f>
        <v>1.8061843940508967E-2</v>
      </c>
      <c r="O24" s="52">
        <f>$G24*'nutrient content'!C21</f>
        <v>4.5719904152819742E-2</v>
      </c>
      <c r="P24" s="52">
        <f>$G24*'nutrient content'!D21</f>
        <v>6.8623792243453224E-5</v>
      </c>
      <c r="Q24" s="52">
        <f>$G24*'nutrient content'!F21</f>
        <v>3.7471913070401819E-5</v>
      </c>
      <c r="R24" s="52">
        <f>$G24*'nutrient content'!G21</f>
        <v>4.0291136815040025E-3</v>
      </c>
      <c r="S24" s="52">
        <f>$G24*'nutrient content'!H21</f>
        <v>1.0712481156292448E-3</v>
      </c>
      <c r="T24" s="52">
        <f>$G24*'nutrient content'!I21</f>
        <v>1.4959516889486664E-2</v>
      </c>
      <c r="U24" s="52">
        <f>$G24*'nutrient content'!J21</f>
        <v>3.9030112329576515E-3</v>
      </c>
      <c r="V24" s="52">
        <f>$G24*'nutrient content'!K21</f>
        <v>0.166373828564707</v>
      </c>
      <c r="W24" s="52">
        <f>$G24*'nutrient content'!L21</f>
        <v>0.23642813273762106</v>
      </c>
      <c r="X24" s="52">
        <f>$G24*'nutrient content'!M21</f>
        <v>1.7944094582286681E-4</v>
      </c>
      <c r="Y24" s="52">
        <f>$G24*'nutrient content'!N21</f>
        <v>0.89937800970622883</v>
      </c>
      <c r="Z24" s="52">
        <f>$G24*'nutrient content'!O21</f>
        <v>3.9344141216558423E-4</v>
      </c>
      <c r="AA24" s="52">
        <f>$G24*'nutrient content'!P21</f>
        <v>5.6742598937417578E-4</v>
      </c>
      <c r="AB24" s="52">
        <f>$G24*'nutrient content'!Q21</f>
        <v>2.6123032390376101E-4</v>
      </c>
      <c r="AC24" s="52">
        <f>$G24*'nutrient content'!R21</f>
        <v>2.5047957072663486E-4</v>
      </c>
      <c r="AD24" s="52">
        <f>$G24*'nutrient content'!S21</f>
        <v>2.0003482929113289E-4</v>
      </c>
      <c r="AE24" s="52">
        <f>$G24*'nutrient content'!T21</f>
        <v>4.4202990289242761E-3</v>
      </c>
      <c r="AF24" s="52">
        <f>$G24*'nutrient content'!U21</f>
        <v>1.7017097266285779E-3</v>
      </c>
      <c r="AG24" s="52">
        <f>$G24*'nutrient content'!V21</f>
        <v>8.6558068276236886E-3</v>
      </c>
      <c r="AH24" s="52">
        <f>$G24*'nutrient content'!W21</f>
        <v>7.7012158615746005E-4</v>
      </c>
      <c r="AI24" s="52">
        <f>$G24*'nutrient content'!AB21</f>
        <v>0</v>
      </c>
      <c r="AJ24" s="52">
        <f>$G24*'nutrient content'!AC21</f>
        <v>4.109420750395517E-8</v>
      </c>
      <c r="AK24" s="52">
        <f>$G24*'nutrient content'!AD21</f>
        <v>0</v>
      </c>
      <c r="AL24" s="52">
        <f>$G24*'nutrient content'!AE21</f>
        <v>0</v>
      </c>
      <c r="AM24" s="52">
        <f>$G24*'nutrient content'!AF21</f>
        <v>2.9501633371130484E-3</v>
      </c>
      <c r="AN24" s="52">
        <f>$G24*'nutrient content'!AG21</f>
        <v>8.3772967238599207E-7</v>
      </c>
      <c r="AO24" s="52">
        <f>$G24*'nutrient content'!AH21</f>
        <v>1.2627593189999549E-2</v>
      </c>
      <c r="AP24" s="52">
        <f>$G24*'nutrient content'!AI21</f>
        <v>0</v>
      </c>
      <c r="AQ24" s="52">
        <f>$G24*'nutrient content'!AJ21</f>
        <v>0</v>
      </c>
      <c r="AR24" s="52">
        <f>$G24*'nutrient content'!AK21</f>
        <v>0</v>
      </c>
      <c r="AS24" s="52">
        <f>$G24*'nutrient content'!AL21</f>
        <v>0</v>
      </c>
      <c r="AT24" s="52">
        <f>$G24*'nutrient content'!AM21</f>
        <v>0</v>
      </c>
      <c r="AU24" s="52">
        <f>$G24*'nutrient content'!AN21</f>
        <v>4.109420750395517E-8</v>
      </c>
      <c r="AV24" s="52">
        <f>$G24*'nutrient content'!AO21</f>
        <v>0</v>
      </c>
    </row>
    <row r="25" spans="1:48" x14ac:dyDescent="0.2">
      <c r="A25" s="2" t="s">
        <v>579</v>
      </c>
      <c r="B25" s="52">
        <f>TFP!E36</f>
        <v>6.9505823717141051E-3</v>
      </c>
      <c r="C25" s="110">
        <f>HLOOKUP(TFP!$C$14,cost!$C$6:$S$64,cost!$A26,FALSE)</f>
        <v>0.3091085615244773</v>
      </c>
      <c r="D25" s="110">
        <f t="shared" si="0"/>
        <v>2.2485894073703005E-2</v>
      </c>
      <c r="E25" s="52">
        <f t="shared" si="1"/>
        <v>4.9572910705809586E-3</v>
      </c>
      <c r="F25" s="52">
        <f t="shared" si="2"/>
        <v>1.2393227676452396E-3</v>
      </c>
      <c r="G25" s="52">
        <f t="shared" si="3"/>
        <v>7.3966756821391467E-4</v>
      </c>
      <c r="H25" s="52">
        <f t="shared" si="4"/>
        <v>7.3966756821391463E-2</v>
      </c>
      <c r="I25" s="52">
        <f>calculations!G25*'nutrient content'!E22</f>
        <v>0.13162969127441146</v>
      </c>
      <c r="J25" s="52">
        <f>$G25*'nutrient content'!X22</f>
        <v>3.5219372750919006E-2</v>
      </c>
      <c r="K25" s="52">
        <f>$G25*'nutrient content'!Y22</f>
        <v>7.7021133683094021E-3</v>
      </c>
      <c r="L25" s="52">
        <f>$G25*'nutrient content'!Z22</f>
        <v>8.6484081994262454E-2</v>
      </c>
      <c r="M25" s="52">
        <f>$G25*'nutrient content'!AA22</f>
        <v>2.6739884361838492E-2</v>
      </c>
      <c r="N25" s="52">
        <f>$G25*'nutrient content'!B22</f>
        <v>5.3817572580045665E-2</v>
      </c>
      <c r="O25" s="52">
        <f>$G25*'nutrient content'!C22</f>
        <v>0.24997654440607048</v>
      </c>
      <c r="P25" s="52">
        <f>$G25*'nutrient content'!D22</f>
        <v>5.8783844942611554E-5</v>
      </c>
      <c r="Q25" s="52">
        <f>$G25*'nutrient content'!F22</f>
        <v>4.7791088203416004E-5</v>
      </c>
      <c r="R25" s="52">
        <f>$G25*'nutrient content'!G22</f>
        <v>2.3778462075712402E-2</v>
      </c>
      <c r="S25" s="52">
        <f>$G25*'nutrient content'!H22</f>
        <v>1.1263077802650917E-3</v>
      </c>
      <c r="T25" s="52">
        <f>$G25*'nutrient content'!I22</f>
        <v>9.3733290439131627E-3</v>
      </c>
      <c r="U25" s="52">
        <f>$G25*'nutrient content'!J22</f>
        <v>2.8052951679807911E-4</v>
      </c>
      <c r="V25" s="52">
        <f>$G25*'nutrient content'!K22</f>
        <v>0.13693370351971115</v>
      </c>
      <c r="W25" s="52">
        <f>$G25*'nutrient content'!L22</f>
        <v>0.11336084462096872</v>
      </c>
      <c r="X25" s="52">
        <f>$G25*'nutrient content'!M22</f>
        <v>3.0656913512601506E-4</v>
      </c>
      <c r="Y25" s="52">
        <f>$G25*'nutrient content'!N22</f>
        <v>0.17755013660249477</v>
      </c>
      <c r="Z25" s="52">
        <f>$G25*'nutrient content'!O22</f>
        <v>6.1827078300180849E-5</v>
      </c>
      <c r="AA25" s="52">
        <f>$G25*'nutrient content'!P22</f>
        <v>7.1883206582608013E-4</v>
      </c>
      <c r="AB25" s="52">
        <f>$G25*'nutrient content'!Q22</f>
        <v>9.6241896826096204E-5</v>
      </c>
      <c r="AC25" s="52">
        <f>$G25*'nutrient content'!R22</f>
        <v>2.6551276789130428E-4</v>
      </c>
      <c r="AD25" s="52">
        <f>$G25*'nutrient content'!S22</f>
        <v>8.2516310554692934E-4</v>
      </c>
      <c r="AE25" s="52">
        <f>$G25*'nutrient content'!T22</f>
        <v>0.10195872667542169</v>
      </c>
      <c r="AF25" s="52">
        <f>$G25*'nutrient content'!U22</f>
        <v>8.2554417372374795E-4</v>
      </c>
      <c r="AG25" s="52">
        <f>$G25*'nutrient content'!V22</f>
        <v>1.4845603655086937E-2</v>
      </c>
      <c r="AH25" s="52">
        <f>$G25*'nutrient content'!W22</f>
        <v>9.7214829464323477E-4</v>
      </c>
      <c r="AI25" s="52">
        <f>$G25*'nutrient content'!AB22</f>
        <v>4.6748371782187156E-5</v>
      </c>
      <c r="AJ25" s="52">
        <f>$G25*'nutrient content'!AC22</f>
        <v>8.8622575073315414E-6</v>
      </c>
      <c r="AK25" s="52">
        <f>$G25*'nutrient content'!AD22</f>
        <v>1.2130903307003332E-7</v>
      </c>
      <c r="AL25" s="52">
        <f>$G25*'nutrient content'!AE22</f>
        <v>7.1599796449261634E-5</v>
      </c>
      <c r="AM25" s="52">
        <f>$G25*'nutrient content'!AF22</f>
        <v>1.2780494254170582E-3</v>
      </c>
      <c r="AN25" s="52">
        <f>$G25*'nutrient content'!AG22</f>
        <v>4.3565331266498091E-4</v>
      </c>
      <c r="AO25" s="52">
        <f>$G25*'nutrient content'!AH22</f>
        <v>4.4667575056767758E-2</v>
      </c>
      <c r="AP25" s="52">
        <f>$G25*'nutrient content'!AI22</f>
        <v>0</v>
      </c>
      <c r="AQ25" s="52">
        <f>$G25*'nutrient content'!AJ22</f>
        <v>0</v>
      </c>
      <c r="AR25" s="52">
        <f>$G25*'nutrient content'!AK22</f>
        <v>0</v>
      </c>
      <c r="AS25" s="52">
        <f>$G25*'nutrient content'!AL22</f>
        <v>0</v>
      </c>
      <c r="AT25" s="52">
        <f>$G25*'nutrient content'!AM22</f>
        <v>2.188211212047503E-6</v>
      </c>
      <c r="AU25" s="52">
        <f>$G25*'nutrient content'!AN22</f>
        <v>6.6876406586892578E-6</v>
      </c>
      <c r="AV25" s="52">
        <f>$G25*'nutrient content'!AO22</f>
        <v>1.2130903307003332E-7</v>
      </c>
    </row>
    <row r="26" spans="1:48" x14ac:dyDescent="0.2">
      <c r="A26" s="2" t="s">
        <v>580</v>
      </c>
      <c r="B26" s="52">
        <f>TFP!E37</f>
        <v>3.2689368472565206E-2</v>
      </c>
      <c r="C26" s="110">
        <f>HLOOKUP(TFP!$C$14,cost!$C$6:$S$64,cost!$A27,FALSE)</f>
        <v>0.67223979143063117</v>
      </c>
      <c r="D26" s="110">
        <f t="shared" si="0"/>
        <v>4.8627541673778529E-2</v>
      </c>
      <c r="E26" s="52">
        <f t="shared" si="1"/>
        <v>1.072053783290048E-2</v>
      </c>
      <c r="F26" s="52">
        <f t="shared" si="2"/>
        <v>2.68013445822512E-3</v>
      </c>
      <c r="G26" s="52">
        <f t="shared" si="3"/>
        <v>1.5995901866374517E-3</v>
      </c>
      <c r="H26" s="52">
        <f t="shared" si="4"/>
        <v>0.15995901866374518</v>
      </c>
      <c r="I26" s="52">
        <f>calculations!G26*'nutrient content'!E23</f>
        <v>0.36152650561083599</v>
      </c>
      <c r="J26" s="52">
        <f>$G26*'nutrient content'!X23</f>
        <v>8.2772259663299902E-2</v>
      </c>
      <c r="K26" s="52">
        <f>$G26*'nutrient content'!Y23</f>
        <v>0.10027357952971808</v>
      </c>
      <c r="L26" s="52">
        <f>$G26*'nutrient content'!Z23</f>
        <v>0.17527753916470806</v>
      </c>
      <c r="M26" s="52">
        <f>$G26*'nutrient content'!AA23</f>
        <v>5.9450049893731108E-2</v>
      </c>
      <c r="N26" s="52">
        <f>$G26*'nutrient content'!B23</f>
        <v>0.11622985925270786</v>
      </c>
      <c r="O26" s="52">
        <f>$G26*'nutrient content'!C23</f>
        <v>6.5661380411467615E-2</v>
      </c>
      <c r="P26" s="52">
        <f>$G26*'nutrient content'!D23</f>
        <v>1.6777551271559101E-4</v>
      </c>
      <c r="Q26" s="52">
        <f>$G26*'nutrient content'!F23</f>
        <v>1.4455613754208224E-3</v>
      </c>
      <c r="R26" s="52">
        <f>$G26*'nutrient content'!G23</f>
        <v>7.4055256338199704E-2</v>
      </c>
      <c r="S26" s="52">
        <f>$G26*'nutrient content'!H23</f>
        <v>2.7849972402712786E-3</v>
      </c>
      <c r="T26" s="52">
        <f>$G26*'nutrient content'!I23</f>
        <v>3.0094858395616809E-2</v>
      </c>
      <c r="U26" s="52">
        <f>$G26*'nutrient content'!J23</f>
        <v>5.3624367908703587E-3</v>
      </c>
      <c r="V26" s="52">
        <f>$G26*'nutrient content'!K23</f>
        <v>0.20787480481857257</v>
      </c>
      <c r="W26" s="52">
        <f>$G26*'nutrient content'!L23</f>
        <v>0.329680515580553</v>
      </c>
      <c r="X26" s="52">
        <f>$G26*'nutrient content'!M23</f>
        <v>2.9776850807703505E-4</v>
      </c>
      <c r="Y26" s="52">
        <f>$G26*'nutrient content'!N23</f>
        <v>0.62639690330073139</v>
      </c>
      <c r="Z26" s="52">
        <f>$G26*'nutrient content'!O23</f>
        <v>2.205101788389135E-4</v>
      </c>
      <c r="AA26" s="52">
        <f>$G26*'nutrient content'!P23</f>
        <v>1.3054541516752162E-3</v>
      </c>
      <c r="AB26" s="52">
        <f>$G26*'nutrient content'!Q23</f>
        <v>2.9169103692020708E-4</v>
      </c>
      <c r="AC26" s="52">
        <f>$G26*'nutrient content'!R23</f>
        <v>3.9716876998777025E-3</v>
      </c>
      <c r="AD26" s="52">
        <f>$G26*'nutrient content'!S23</f>
        <v>8.9902941739245835E-4</v>
      </c>
      <c r="AE26" s="52">
        <f>$G26*'nutrient content'!T23</f>
        <v>4.4494299745140971E-2</v>
      </c>
      <c r="AF26" s="52">
        <f>$G26*'nutrient content'!U23</f>
        <v>3.2389554826215508E-3</v>
      </c>
      <c r="AG26" s="52">
        <f>$G26*'nutrient content'!V23</f>
        <v>2.7302339093443855E-2</v>
      </c>
      <c r="AH26" s="52">
        <f>$G26*'nutrient content'!W23</f>
        <v>3.0134860610487981E-3</v>
      </c>
      <c r="AI26" s="52">
        <f>$G26*'nutrient content'!AB23</f>
        <v>1.6456056266516447E-3</v>
      </c>
      <c r="AJ26" s="52">
        <f>$G26*'nutrient content'!AC23</f>
        <v>2.363531684959811E-4</v>
      </c>
      <c r="AK26" s="52">
        <f>$G26*'nutrient content'!AD23</f>
        <v>2.110474345034459E-6</v>
      </c>
      <c r="AL26" s="52">
        <f>$G26*'nutrient content'!AE23</f>
        <v>1.3412647835794921E-4</v>
      </c>
      <c r="AM26" s="52">
        <f>$G26*'nutrient content'!AF23</f>
        <v>1.9001514636448375E-3</v>
      </c>
      <c r="AN26" s="52">
        <f>$G26*'nutrient content'!AG23</f>
        <v>3.3657371576654065E-3</v>
      </c>
      <c r="AO26" s="52">
        <f>$G26*'nutrient content'!AH23</f>
        <v>9.4759965080476738E-2</v>
      </c>
      <c r="AP26" s="52">
        <f>$G26*'nutrient content'!AI23</f>
        <v>3.6924693465594786E-6</v>
      </c>
      <c r="AQ26" s="52">
        <f>$G26*'nutrient content'!AJ23</f>
        <v>5.4188072572916649E-6</v>
      </c>
      <c r="AR26" s="52">
        <f>$G26*'nutrient content'!AK23</f>
        <v>6.5911780431658183E-6</v>
      </c>
      <c r="AS26" s="52">
        <f>$G26*'nutrient content'!AL23</f>
        <v>2.7092599621651495E-7</v>
      </c>
      <c r="AT26" s="52">
        <f>$G26*'nutrient content'!AM23</f>
        <v>2.4104492095252759E-5</v>
      </c>
      <c r="AU26" s="52">
        <f>$G26*'nutrient content'!AN23</f>
        <v>2.0019739437267931E-4</v>
      </c>
      <c r="AV26" s="52">
        <f>$G26*'nutrient content'!AO23</f>
        <v>2.110474345034459E-6</v>
      </c>
    </row>
    <row r="27" spans="1:48" x14ac:dyDescent="0.2">
      <c r="A27" s="3" t="s">
        <v>178</v>
      </c>
      <c r="B27" s="52">
        <f>TFP!E38</f>
        <v>0.29319016724571995</v>
      </c>
      <c r="C27" s="110">
        <f>HLOOKUP(TFP!$C$14,cost!$C$6:$S$64,cost!$A28,FALSE)</f>
        <v>3.8938892431905625</v>
      </c>
      <c r="D27" s="110">
        <f t="shared" si="0"/>
        <v>7.5294942648519381E-2</v>
      </c>
      <c r="E27" s="52">
        <f t="shared" si="1"/>
        <v>1.6599693373452854E-2</v>
      </c>
      <c r="F27" s="52">
        <f t="shared" si="2"/>
        <v>4.1499233433632135E-3</v>
      </c>
      <c r="G27" s="52">
        <f t="shared" si="3"/>
        <v>2.4768073239644535E-3</v>
      </c>
      <c r="H27" s="52">
        <f t="shared" si="4"/>
        <v>0.24768073239644534</v>
      </c>
      <c r="I27" s="52">
        <f>calculations!G27*'nutrient content'!E24</f>
        <v>0.27527895192945667</v>
      </c>
      <c r="J27" s="52">
        <f>$G27*'nutrient content'!X24</f>
        <v>9.2064811964939874E-2</v>
      </c>
      <c r="K27" s="52">
        <f>$G27*'nutrient content'!Y24</f>
        <v>8.236783380822571E-2</v>
      </c>
      <c r="L27" s="52">
        <f>$G27*'nutrient content'!Z24</f>
        <v>9.9531021067058481E-2</v>
      </c>
      <c r="M27" s="52">
        <f>$G27*'nutrient content'!AA24</f>
        <v>2.6868970167612423E-2</v>
      </c>
      <c r="N27" s="52">
        <f>$G27*'nutrient content'!B24</f>
        <v>5.1871436299146215E-2</v>
      </c>
      <c r="O27" s="52">
        <f>$G27*'nutrient content'!C24</f>
        <v>6.4023383650980731E-2</v>
      </c>
      <c r="P27" s="52">
        <f>$G27*'nutrient content'!D24</f>
        <v>2.5804401712888807E-4</v>
      </c>
      <c r="Q27" s="52">
        <f>$G27*'nutrient content'!F24</f>
        <v>2.8247530916569101E-3</v>
      </c>
      <c r="R27" s="52">
        <f>$G27*'nutrient content'!G24</f>
        <v>4.7667003710815954E-2</v>
      </c>
      <c r="S27" s="52">
        <f>$G27*'nutrient content'!H24</f>
        <v>2.9023291075438305E-3</v>
      </c>
      <c r="T27" s="52">
        <f>$G27*'nutrient content'!I24</f>
        <v>4.2702327458755567E-2</v>
      </c>
      <c r="U27" s="52">
        <f>$G27*'nutrient content'!J24</f>
        <v>6.5324956937805436E-3</v>
      </c>
      <c r="V27" s="52">
        <f>$G27*'nutrient content'!K24</f>
        <v>0.21703617110438461</v>
      </c>
      <c r="W27" s="52">
        <f>$G27*'nutrient content'!L24</f>
        <v>0.55956512476766651</v>
      </c>
      <c r="X27" s="52">
        <f>$G27*'nutrient content'!M24</f>
        <v>2.492107165977728E-4</v>
      </c>
      <c r="Y27" s="52">
        <f>$G27*'nutrient content'!N24</f>
        <v>0.64411033393196293</v>
      </c>
      <c r="Z27" s="52">
        <f>$G27*'nutrient content'!O24</f>
        <v>2.0722475226531896E-4</v>
      </c>
      <c r="AA27" s="52">
        <f>$G27*'nutrient content'!P24</f>
        <v>1.3811142483711213E-3</v>
      </c>
      <c r="AB27" s="52">
        <f>$G27*'nutrient content'!Q24</f>
        <v>4.1588360068499239E-4</v>
      </c>
      <c r="AC27" s="52">
        <f>$G27*'nutrient content'!R24</f>
        <v>1.3336457419275883E-2</v>
      </c>
      <c r="AD27" s="52">
        <f>$G27*'nutrient content'!S24</f>
        <v>1.5715663724474014E-3</v>
      </c>
      <c r="AE27" s="52">
        <f>$G27*'nutrient content'!T24</f>
        <v>7.8644087614890223E-2</v>
      </c>
      <c r="AF27" s="52">
        <f>$G27*'nutrient content'!U24</f>
        <v>3.2563423966876308E-3</v>
      </c>
      <c r="AG27" s="52">
        <f>$G27*'nutrient content'!V24</f>
        <v>2.1739849936624762E-2</v>
      </c>
      <c r="AH27" s="52">
        <f>$G27*'nutrient content'!W24</f>
        <v>2.3243992749616953E-3</v>
      </c>
      <c r="AI27" s="52">
        <f>$G27*'nutrient content'!AB24</f>
        <v>4.13956032358674E-4</v>
      </c>
      <c r="AJ27" s="52">
        <f>$G27*'nutrient content'!AC24</f>
        <v>5.9302451321991084E-4</v>
      </c>
      <c r="AK27" s="52">
        <f>$G27*'nutrient content'!AD24</f>
        <v>8.425771987778192E-6</v>
      </c>
      <c r="AL27" s="52">
        <f>$G27*'nutrient content'!AE24</f>
        <v>5.5327075196806488E-6</v>
      </c>
      <c r="AM27" s="52">
        <f>$G27*'nutrient content'!AF24</f>
        <v>2.6299087095389864E-3</v>
      </c>
      <c r="AN27" s="52">
        <f>$G27*'nutrient content'!AG24</f>
        <v>3.4733919082163204E-3</v>
      </c>
      <c r="AO27" s="52">
        <f>$G27*'nutrient content'!AH24</f>
        <v>2.0663525707080861E-2</v>
      </c>
      <c r="AP27" s="52">
        <f>$G27*'nutrient content'!AI24</f>
        <v>4.1940529557059168E-7</v>
      </c>
      <c r="AQ27" s="52">
        <f>$G27*'nutrient content'!AJ24</f>
        <v>1.337714538740024E-5</v>
      </c>
      <c r="AR27" s="52">
        <f>$G27*'nutrient content'!AK24</f>
        <v>3.901831553879513E-5</v>
      </c>
      <c r="AS27" s="52">
        <f>$G27*'nutrient content'!AL24</f>
        <v>4.0749570346048892E-5</v>
      </c>
      <c r="AT27" s="52">
        <f>$G27*'nutrient content'!AM24</f>
        <v>1.5815368929771045E-4</v>
      </c>
      <c r="AU27" s="52">
        <f>$G27*'nutrient content'!AN24</f>
        <v>3.8255421158270216E-4</v>
      </c>
      <c r="AV27" s="52">
        <f>$G27*'nutrient content'!AO24</f>
        <v>8.425771987778192E-6</v>
      </c>
    </row>
    <row r="28" spans="1:48" x14ac:dyDescent="0.2">
      <c r="A28" s="2" t="s">
        <v>581</v>
      </c>
      <c r="B28" s="52">
        <f>TFP!E39</f>
        <v>7.070791234721443</v>
      </c>
      <c r="C28" s="110">
        <f>HLOOKUP(TFP!$C$14,cost!$C$6:$S$64,cost!$A29,FALSE)</f>
        <v>0.22059958901455978</v>
      </c>
      <c r="D28" s="110">
        <f t="shared" si="0"/>
        <v>32.052603843494758</v>
      </c>
      <c r="E28" s="52">
        <f t="shared" si="1"/>
        <v>7.0663895463267483</v>
      </c>
      <c r="F28" s="52">
        <f t="shared" si="2"/>
        <v>1.7665973865816871</v>
      </c>
      <c r="G28" s="52">
        <f t="shared" si="3"/>
        <v>1.0543619685360117</v>
      </c>
      <c r="H28" s="52">
        <f t="shared" si="4"/>
        <v>105.43619685360117</v>
      </c>
      <c r="I28" s="52">
        <f>calculations!G28*'nutrient content'!E25</f>
        <v>143.87702367678185</v>
      </c>
      <c r="J28" s="52">
        <f>$G28*'nutrient content'!X25</f>
        <v>28.988379056981895</v>
      </c>
      <c r="K28" s="52">
        <f>$G28*'nutrient content'!Y25</f>
        <v>73.606751455101929</v>
      </c>
      <c r="L28" s="52">
        <f>$G28*'nutrient content'!Z25</f>
        <v>45.311143025174054</v>
      </c>
      <c r="M28" s="52">
        <f>$G28*'nutrient content'!AA25</f>
        <v>9.8955412686454043</v>
      </c>
      <c r="N28" s="52">
        <f>$G28*'nutrient content'!B25</f>
        <v>38.948340639239653</v>
      </c>
      <c r="O28" s="52">
        <f>$G28*'nutrient content'!C25</f>
        <v>2.9619909964473119</v>
      </c>
      <c r="P28" s="52">
        <f>$G28*'nutrient content'!D25</f>
        <v>0.21879345851677909</v>
      </c>
      <c r="Q28" s="52">
        <f>$G28*'nutrient content'!F25</f>
        <v>5.1809918672980126</v>
      </c>
      <c r="R28" s="52">
        <f>$G28*'nutrient content'!G25</f>
        <v>73.642977871633093</v>
      </c>
      <c r="S28" s="52">
        <f>$G28*'nutrient content'!H25</f>
        <v>1.851577606211116</v>
      </c>
      <c r="T28" s="52">
        <f>$G28*'nutrient content'!I25</f>
        <v>40.214891960039097</v>
      </c>
      <c r="U28" s="52">
        <f>$G28*'nutrient content'!J25</f>
        <v>0.7748467695656085</v>
      </c>
      <c r="V28" s="52">
        <f>$G28*'nutrient content'!K25</f>
        <v>117.34142177588184</v>
      </c>
      <c r="W28" s="52">
        <f>$G28*'nutrient content'!L25</f>
        <v>325.67181947954242</v>
      </c>
      <c r="X28" s="52">
        <f>$G28*'nutrient content'!M25</f>
        <v>7.910340131186365E-2</v>
      </c>
      <c r="Y28" s="52">
        <f>$G28*'nutrient content'!N25</f>
        <v>221.74945456127537</v>
      </c>
      <c r="Z28" s="52">
        <f>$G28*'nutrient content'!O25</f>
        <v>0.14429274520911062</v>
      </c>
      <c r="AA28" s="52">
        <f>$G28*'nutrient content'!P25</f>
        <v>0.11409278836890531</v>
      </c>
      <c r="AB28" s="52">
        <f>$G28*'nutrient content'!Q25</f>
        <v>0.13980360671416514</v>
      </c>
      <c r="AC28" s="52">
        <f>$G28*'nutrient content'!R25</f>
        <v>1.6564852097492317</v>
      </c>
      <c r="AD28" s="52">
        <f>$G28*'nutrient content'!S25</f>
        <v>0.72672306863801395</v>
      </c>
      <c r="AE28" s="52">
        <f>$G28*'nutrient content'!T25</f>
        <v>7.7833380712055265</v>
      </c>
      <c r="AF28" s="52">
        <f>$G28*'nutrient content'!U25</f>
        <v>1.3044605869131043</v>
      </c>
      <c r="AG28" s="52">
        <f>$G28*'nutrient content'!V25</f>
        <v>14.429463714809815</v>
      </c>
      <c r="AH28" s="52">
        <f>$G28*'nutrient content'!W25</f>
        <v>2.0831580261734812</v>
      </c>
      <c r="AI28" s="52">
        <f>$G28*'nutrient content'!AB25</f>
        <v>1.5998356705130411E-2</v>
      </c>
      <c r="AJ28" s="52">
        <f>$G28*'nutrient content'!AC25</f>
        <v>0.49351579514523081</v>
      </c>
      <c r="AK28" s="52">
        <f>$G28*'nutrient content'!AD25</f>
        <v>9.8358009424115835E-5</v>
      </c>
      <c r="AL28" s="52">
        <f>$G28*'nutrient content'!AE25</f>
        <v>5.8190438054901304E-4</v>
      </c>
      <c r="AM28" s="52">
        <f>$G28*'nutrient content'!AF25</f>
        <v>0.16501114766833699</v>
      </c>
      <c r="AN28" s="52">
        <f>$G28*'nutrient content'!AG25</f>
        <v>0.66430474485647029</v>
      </c>
      <c r="AO28" s="52">
        <f>$G28*'nutrient content'!AH25</f>
        <v>31.806713682797863</v>
      </c>
      <c r="AP28" s="52">
        <f>$G28*'nutrient content'!AI25</f>
        <v>1.8715656235387958E-3</v>
      </c>
      <c r="AQ28" s="52">
        <f>$G28*'nutrient content'!AJ25</f>
        <v>2.5328854599261075E-3</v>
      </c>
      <c r="AR28" s="52">
        <f>$G28*'nutrient content'!AK25</f>
        <v>3.4727370217932686E-3</v>
      </c>
      <c r="AS28" s="52">
        <f>$G28*'nutrient content'!AL25</f>
        <v>0.44949045971921947</v>
      </c>
      <c r="AT28" s="52">
        <f>$G28*'nutrient content'!AM25</f>
        <v>1.4704789493458004E-3</v>
      </c>
      <c r="AU28" s="52">
        <f>$G28*'nutrient content'!AN25</f>
        <v>3.6555432377465114E-2</v>
      </c>
      <c r="AV28" s="52">
        <f>$G28*'nutrient content'!AO25</f>
        <v>9.8358009424115835E-5</v>
      </c>
    </row>
    <row r="29" spans="1:48" x14ac:dyDescent="0.2">
      <c r="A29" s="2" t="s">
        <v>15</v>
      </c>
      <c r="B29" s="52">
        <f>TFP!E40</f>
        <v>8.3570376185964417</v>
      </c>
      <c r="C29" s="110">
        <f>HLOOKUP(TFP!$C$14,cost!$C$6:$S$64,cost!$A30,FALSE)</f>
        <v>0.91161411738690312</v>
      </c>
      <c r="D29" s="110">
        <f t="shared" si="0"/>
        <v>9.16729727985288</v>
      </c>
      <c r="E29" s="52">
        <f t="shared" si="1"/>
        <v>2.0210430947428129</v>
      </c>
      <c r="F29" s="52">
        <f t="shared" si="2"/>
        <v>0.50526077368570321</v>
      </c>
      <c r="G29" s="52">
        <f t="shared" si="3"/>
        <v>0.30155583157410792</v>
      </c>
      <c r="H29" s="52">
        <f t="shared" si="4"/>
        <v>30.155583157410792</v>
      </c>
      <c r="I29" s="52">
        <f>calculations!G29*'nutrient content'!E26</f>
        <v>162.00735977518278</v>
      </c>
      <c r="J29" s="52">
        <f>$G29*'nutrient content'!X26</f>
        <v>25.777227593792635</v>
      </c>
      <c r="K29" s="52">
        <f>$G29*'nutrient content'!Y26</f>
        <v>24.544615100923728</v>
      </c>
      <c r="L29" s="52">
        <f>$G29*'nutrient content'!Z26</f>
        <v>123.39798988892126</v>
      </c>
      <c r="M29" s="52">
        <f>$G29*'nutrient content'!AA26</f>
        <v>20.168881467469895</v>
      </c>
      <c r="N29" s="52">
        <f>$G29*'nutrient content'!B26</f>
        <v>19.808194031595932</v>
      </c>
      <c r="O29" s="52">
        <f>$G29*'nutrient content'!C26</f>
        <v>0</v>
      </c>
      <c r="P29" s="52">
        <f>$G29*'nutrient content'!D26</f>
        <v>0.24987215512455216</v>
      </c>
      <c r="Q29" s="52">
        <f>$G29*'nutrient content'!F26</f>
        <v>1.9176716169444279</v>
      </c>
      <c r="R29" s="52">
        <f>$G29*'nutrient content'!G26</f>
        <v>23.619734270443406</v>
      </c>
      <c r="S29" s="52">
        <f>$G29*'nutrient content'!H26</f>
        <v>0.93213513239001833</v>
      </c>
      <c r="T29" s="52">
        <f>$G29*'nutrient content'!I26</f>
        <v>57.341326180164366</v>
      </c>
      <c r="U29" s="52">
        <f>$G29*'nutrient content'!J26</f>
        <v>2.6851625973601649</v>
      </c>
      <c r="V29" s="52">
        <f>$G29*'nutrient content'!K26</f>
        <v>124.92359153994769</v>
      </c>
      <c r="W29" s="52">
        <f>$G29*'nutrient content'!L26</f>
        <v>180.66012584862477</v>
      </c>
      <c r="X29" s="52">
        <f>$G29*'nutrient content'!M26</f>
        <v>4.9562815068190304E-2</v>
      </c>
      <c r="Y29" s="52">
        <f>$G29*'nutrient content'!N26</f>
        <v>117.40480487146407</v>
      </c>
      <c r="Z29" s="52">
        <f>$G29*'nutrient content'!O26</f>
        <v>7.1212877800023389E-2</v>
      </c>
      <c r="AA29" s="52">
        <f>$G29*'nutrient content'!P26</f>
        <v>0</v>
      </c>
      <c r="AB29" s="52">
        <f>$G29*'nutrient content'!Q26</f>
        <v>0.10969483868495873</v>
      </c>
      <c r="AC29" s="52">
        <f>$G29*'nutrient content'!R26</f>
        <v>0.20499837768209264</v>
      </c>
      <c r="AD29" s="52">
        <f>$G29*'nutrient content'!S26</f>
        <v>2.288573582950018</v>
      </c>
      <c r="AE29" s="52">
        <f>$G29*'nutrient content'!T26</f>
        <v>0.42151358807069339</v>
      </c>
      <c r="AF29" s="52">
        <f>$G29*'nutrient content'!U26</f>
        <v>1.024299315527373</v>
      </c>
      <c r="AG29" s="52">
        <f>$G29*'nutrient content'!V26</f>
        <v>37.019061239995288</v>
      </c>
      <c r="AH29" s="52">
        <f>$G29*'nutrient content'!W26</f>
        <v>0.42571098566609072</v>
      </c>
      <c r="AI29" s="52">
        <f>$G29*'nutrient content'!AB26</f>
        <v>9.3688460608423382E-3</v>
      </c>
      <c r="AJ29" s="52">
        <f>$G29*'nutrient content'!AC26</f>
        <v>0</v>
      </c>
      <c r="AK29" s="52">
        <f>$G29*'nutrient content'!AD26</f>
        <v>4.7670650699831391E-3</v>
      </c>
      <c r="AL29" s="52">
        <f>$G29*'nutrient content'!AE26</f>
        <v>0</v>
      </c>
      <c r="AM29" s="52">
        <f>$G29*'nutrient content'!AF26</f>
        <v>1.9702823210441789</v>
      </c>
      <c r="AN29" s="52">
        <f>$G29*'nutrient content'!AG26</f>
        <v>8.7121223841813666</v>
      </c>
      <c r="AO29" s="52">
        <f>$G29*'nutrient content'!AH26</f>
        <v>3.1689144530280124</v>
      </c>
      <c r="AP29" s="52">
        <f>$G29*'nutrient content'!AI26</f>
        <v>0</v>
      </c>
      <c r="AQ29" s="52">
        <f>$G29*'nutrient content'!AJ26</f>
        <v>0</v>
      </c>
      <c r="AR29" s="52">
        <f>$G29*'nutrient content'!AK26</f>
        <v>0</v>
      </c>
      <c r="AS29" s="52">
        <f>$G29*'nutrient content'!AL26</f>
        <v>0</v>
      </c>
      <c r="AT29" s="52">
        <f>$G29*'nutrient content'!AM26</f>
        <v>0</v>
      </c>
      <c r="AU29" s="52">
        <f>$G29*'nutrient content'!AN26</f>
        <v>0</v>
      </c>
      <c r="AV29" s="52">
        <f>$G29*'nutrient content'!AO26</f>
        <v>4.7670650699831391E-3</v>
      </c>
    </row>
    <row r="30" spans="1:48" x14ac:dyDescent="0.2">
      <c r="A30" s="3" t="s">
        <v>406</v>
      </c>
      <c r="B30" s="52">
        <f>TFP!E41</f>
        <v>1.9150785136971487</v>
      </c>
      <c r="C30" s="110">
        <f>HLOOKUP(TFP!$C$14,cost!$C$6:$S$64,cost!$A31,FALSE)</f>
        <v>0.21276917672853141</v>
      </c>
      <c r="D30" s="110">
        <f t="shared" si="0"/>
        <v>9.0007328276715803</v>
      </c>
      <c r="E30" s="52">
        <f t="shared" si="1"/>
        <v>1.9843219188461327</v>
      </c>
      <c r="F30" s="52">
        <f t="shared" si="2"/>
        <v>0.49608047971153318</v>
      </c>
      <c r="G30" s="52">
        <f t="shared" si="3"/>
        <v>0.29607673775235466</v>
      </c>
      <c r="H30" s="52">
        <f t="shared" si="4"/>
        <v>29.607673775235465</v>
      </c>
      <c r="I30" s="52">
        <f>calculations!G30*'nutrient content'!E27</f>
        <v>80.159074181838378</v>
      </c>
      <c r="J30" s="52">
        <f>$G30*'nutrient content'!X27</f>
        <v>10.690778841790751</v>
      </c>
      <c r="K30" s="52">
        <f>$G30*'nutrient content'!Y27</f>
        <v>58.472074280585581</v>
      </c>
      <c r="L30" s="52">
        <f>$G30*'nutrient content'!Z27</f>
        <v>14.183451640777571</v>
      </c>
      <c r="M30" s="52">
        <f>$G30*'nutrient content'!AA27</f>
        <v>2.5888992628464562</v>
      </c>
      <c r="N30" s="52">
        <f>$G30*'nutrient content'!B27</f>
        <v>19.711682167579543</v>
      </c>
      <c r="O30" s="52">
        <f>$G30*'nutrient content'!C27</f>
        <v>1.3399889311004622</v>
      </c>
      <c r="P30" s="52">
        <f>$G30*'nutrient content'!D27</f>
        <v>7.3944150925106589E-2</v>
      </c>
      <c r="Q30" s="52">
        <f>$G30*'nutrient content'!F27</f>
        <v>1.8425919746101111</v>
      </c>
      <c r="R30" s="52">
        <f>$G30*'nutrient content'!G27</f>
        <v>26.873792666038785</v>
      </c>
      <c r="S30" s="52">
        <f>$G30*'nutrient content'!H27</f>
        <v>0.91818181532649223</v>
      </c>
      <c r="T30" s="52">
        <f>$G30*'nutrient content'!I27</f>
        <v>22.402463871197465</v>
      </c>
      <c r="U30" s="52">
        <f>$G30*'nutrient content'!J27</f>
        <v>1.1284659735938245</v>
      </c>
      <c r="V30" s="52">
        <f>$G30*'nutrient content'!K27</f>
        <v>58.988470631215705</v>
      </c>
      <c r="W30" s="52">
        <f>$G30*'nutrient content'!L27</f>
        <v>85.412879307264717</v>
      </c>
      <c r="X30" s="52">
        <f>$G30*'nutrient content'!M27</f>
        <v>7.2851569857580969E-2</v>
      </c>
      <c r="Y30" s="52">
        <f>$G30*'nutrient content'!N27</f>
        <v>132.03470073062996</v>
      </c>
      <c r="Z30" s="52">
        <f>$G30*'nutrient content'!O27</f>
        <v>8.6329860306618628E-2</v>
      </c>
      <c r="AA30" s="52">
        <f>$G30*'nutrient content'!P27</f>
        <v>1.5811775997553238E-2</v>
      </c>
      <c r="AB30" s="52">
        <f>$G30*'nutrient content'!Q27</f>
        <v>6.8919233425844204E-2</v>
      </c>
      <c r="AC30" s="52">
        <f>$G30*'nutrient content'!R27</f>
        <v>2.7197939235901438E-2</v>
      </c>
      <c r="AD30" s="52">
        <f>$G30*'nutrient content'!S27</f>
        <v>0.18520245961756071</v>
      </c>
      <c r="AE30" s="52">
        <f>$G30*'nutrient content'!T27</f>
        <v>1.2599656909130597</v>
      </c>
      <c r="AF30" s="52">
        <f>$G30*'nutrient content'!U27</f>
        <v>0.44680088149255848</v>
      </c>
      <c r="AG30" s="52">
        <f>$G30*'nutrient content'!V27</f>
        <v>5.3291417763367965</v>
      </c>
      <c r="AH30" s="52">
        <f>$G30*'nutrient content'!W27</f>
        <v>0.57338451160336901</v>
      </c>
      <c r="AI30" s="52">
        <f>$G30*'nutrient content'!AB27</f>
        <v>0.96501340225361953</v>
      </c>
      <c r="AJ30" s="52">
        <f>$G30*'nutrient content'!AC27</f>
        <v>0</v>
      </c>
      <c r="AK30" s="52">
        <f>$G30*'nutrient content'!AD27</f>
        <v>5.4486083279299438E-4</v>
      </c>
      <c r="AL30" s="52">
        <f>$G30*'nutrient content'!AE27</f>
        <v>0</v>
      </c>
      <c r="AM30" s="52">
        <f>$G30*'nutrient content'!AF27</f>
        <v>0</v>
      </c>
      <c r="AN30" s="52">
        <f>$G30*'nutrient content'!AG27</f>
        <v>0.72588118968702386</v>
      </c>
      <c r="AO30" s="52">
        <f>$G30*'nutrient content'!AH27</f>
        <v>9.7624764940586175</v>
      </c>
      <c r="AP30" s="52">
        <f>$G30*'nutrient content'!AI27</f>
        <v>0.73364349359033854</v>
      </c>
      <c r="AQ30" s="52">
        <f>$G30*'nutrient content'!AJ27</f>
        <v>0</v>
      </c>
      <c r="AR30" s="52">
        <f>$G30*'nutrient content'!AK27</f>
        <v>0</v>
      </c>
      <c r="AS30" s="52">
        <f>$G30*'nutrient content'!AL27</f>
        <v>0</v>
      </c>
      <c r="AT30" s="52">
        <f>$G30*'nutrient content'!AM27</f>
        <v>0</v>
      </c>
      <c r="AU30" s="52">
        <f>$G30*'nutrient content'!AN27</f>
        <v>0</v>
      </c>
      <c r="AV30" s="52">
        <f>$G30*'nutrient content'!AO27</f>
        <v>5.4486083279299438E-4</v>
      </c>
    </row>
    <row r="31" spans="1:48" x14ac:dyDescent="0.2">
      <c r="A31" s="3" t="s">
        <v>407</v>
      </c>
      <c r="B31" s="52">
        <f>TFP!E42</f>
        <v>3.4640654928415809E-2</v>
      </c>
      <c r="C31" s="110">
        <f>HLOOKUP(TFP!$C$14,cost!$C$6:$S$64,cost!$A32,FALSE)</f>
        <v>0.29044584735355966</v>
      </c>
      <c r="D31" s="110">
        <f t="shared" si="0"/>
        <v>0.11926717232850552</v>
      </c>
      <c r="E31" s="52">
        <f t="shared" si="1"/>
        <v>2.6293910593886131E-2</v>
      </c>
      <c r="F31" s="52">
        <f t="shared" si="2"/>
        <v>6.5734776484715329E-3</v>
      </c>
      <c r="G31" s="52">
        <f t="shared" si="3"/>
        <v>3.9232622476482078E-3</v>
      </c>
      <c r="H31" s="52">
        <f t="shared" si="4"/>
        <v>0.39232622476482076</v>
      </c>
      <c r="I31" s="52">
        <f>calculations!G31*'nutrient content'!E28</f>
        <v>1.0852992422688805</v>
      </c>
      <c r="J31" s="52">
        <f>$G31*'nutrient content'!X28</f>
        <v>0.12578252906962048</v>
      </c>
      <c r="K31" s="52">
        <f>$G31*'nutrient content'!Y28</f>
        <v>0.76656268620242984</v>
      </c>
      <c r="L31" s="52">
        <f>$G31*'nutrient content'!Z28</f>
        <v>0.19038166723309585</v>
      </c>
      <c r="M31" s="52">
        <f>$G31*'nutrient content'!AA28</f>
        <v>4.0178101126152777E-2</v>
      </c>
      <c r="N31" s="52">
        <f>$G31*'nutrient content'!B28</f>
        <v>0.47329979152134499</v>
      </c>
      <c r="O31" s="52">
        <f>$G31*'nutrient content'!C28</f>
        <v>2.5966827616461366E-2</v>
      </c>
      <c r="P31" s="52">
        <f>$G31*'nutrient content'!D28</f>
        <v>7.0873814457563368E-4</v>
      </c>
      <c r="Q31" s="52">
        <f>$G31*'nutrient content'!F28</f>
        <v>1.1757179854210091E-2</v>
      </c>
      <c r="R31" s="52">
        <f>$G31*'nutrient content'!G28</f>
        <v>0.57953601148207323</v>
      </c>
      <c r="S31" s="52">
        <f>$G31*'nutrient content'!H28</f>
        <v>1.1976686613141031E-2</v>
      </c>
      <c r="T31" s="52">
        <f>$G31*'nutrient content'!I28</f>
        <v>0.11459780958932843</v>
      </c>
      <c r="U31" s="52">
        <f>$G31*'nutrient content'!J28</f>
        <v>1.4244354634906394E-2</v>
      </c>
      <c r="V31" s="52">
        <f>$G31*'nutrient content'!K28</f>
        <v>0.60614124326624896</v>
      </c>
      <c r="W31" s="52">
        <f>$G31*'nutrient content'!L28</f>
        <v>0.51133421548357905</v>
      </c>
      <c r="X31" s="52">
        <f>$G31*'nutrient content'!M28</f>
        <v>1.1575464080892757E-3</v>
      </c>
      <c r="Y31" s="52">
        <f>$G31*'nutrient content'!N28</f>
        <v>2.0286035387421339</v>
      </c>
      <c r="Z31" s="52">
        <f>$G31*'nutrient content'!O28</f>
        <v>1.4998384410019369E-3</v>
      </c>
      <c r="AA31" s="52">
        <f>$G31*'nutrient content'!P28</f>
        <v>4.2725848105011881E-4</v>
      </c>
      <c r="AB31" s="52">
        <f>$G31*'nutrient content'!Q28</f>
        <v>3.7380052897381243E-4</v>
      </c>
      <c r="AC31" s="52">
        <f>$G31*'nutrient content'!R28</f>
        <v>2.5365095370226702E-4</v>
      </c>
      <c r="AD31" s="52">
        <f>$G31*'nutrient content'!S28</f>
        <v>1.386765400083705E-3</v>
      </c>
      <c r="AE31" s="52">
        <f>$G31*'nutrient content'!T28</f>
        <v>4.9276994578316163E-2</v>
      </c>
      <c r="AF31" s="52">
        <f>$G31*'nutrient content'!U28</f>
        <v>3.0187802672329532E-3</v>
      </c>
      <c r="AG31" s="52">
        <f>$G31*'nutrient content'!V28</f>
        <v>5.7443863874272513E-2</v>
      </c>
      <c r="AH31" s="52">
        <f>$G31*'nutrient content'!W28</f>
        <v>5.0690834809791023E-3</v>
      </c>
      <c r="AI31" s="52">
        <f>$G31*'nutrient content'!AB28</f>
        <v>1.387176981807638E-2</v>
      </c>
      <c r="AJ31" s="52">
        <f>$G31*'nutrient content'!AC28</f>
        <v>1.0440182787876939E-6</v>
      </c>
      <c r="AK31" s="52">
        <f>$G31*'nutrient content'!AD28</f>
        <v>1.873273807030727E-5</v>
      </c>
      <c r="AL31" s="52">
        <f>$G31*'nutrient content'!AE28</f>
        <v>8.3711909342926769E-6</v>
      </c>
      <c r="AM31" s="52">
        <f>$G31*'nutrient content'!AF28</f>
        <v>5.5192435077921582E-5</v>
      </c>
      <c r="AN31" s="52">
        <f>$G31*'nutrient content'!AG28</f>
        <v>5.4398697514484104E-3</v>
      </c>
      <c r="AO31" s="52">
        <f>$G31*'nutrient content'!AH28</f>
        <v>0.13337601315738273</v>
      </c>
      <c r="AP31" s="52">
        <f>$G31*'nutrient content'!AI28</f>
        <v>4.0789126836661128E-4</v>
      </c>
      <c r="AQ31" s="52">
        <f>$G31*'nutrient content'!AJ28</f>
        <v>6.5587467970806011E-8</v>
      </c>
      <c r="AR31" s="52">
        <f>$G31*'nutrient content'!AK28</f>
        <v>3.1799984470693828E-8</v>
      </c>
      <c r="AS31" s="52">
        <f>$G31*'nutrient content'!AL28</f>
        <v>1.5034279703549681E-6</v>
      </c>
      <c r="AT31" s="52">
        <f>$G31*'nutrient content'!AM28</f>
        <v>3.7527627260541128E-7</v>
      </c>
      <c r="AU31" s="52">
        <f>$G31*'nutrient content'!AN28</f>
        <v>5.7135455374078287E-7</v>
      </c>
      <c r="AV31" s="52">
        <f>$G31*'nutrient content'!AO28</f>
        <v>1.873273807030727E-5</v>
      </c>
    </row>
    <row r="32" spans="1:48" x14ac:dyDescent="0.2">
      <c r="A32" s="3" t="s">
        <v>619</v>
      </c>
      <c r="B32" s="52">
        <f>TFP!E43</f>
        <v>8.0926257251071852E-3</v>
      </c>
      <c r="C32" s="110">
        <f>HLOOKUP(TFP!$C$14,cost!$C$6:$S$64,cost!$A33,FALSE)</f>
        <v>0.51411841642020994</v>
      </c>
      <c r="D32" s="110">
        <f t="shared" si="0"/>
        <v>1.574078163053539E-2</v>
      </c>
      <c r="E32" s="52">
        <f t="shared" si="1"/>
        <v>3.4702483239158802E-3</v>
      </c>
      <c r="F32" s="52">
        <f t="shared" si="2"/>
        <v>8.6756208097897006E-4</v>
      </c>
      <c r="G32" s="52">
        <f t="shared" si="3"/>
        <v>5.1778886942550624E-4</v>
      </c>
      <c r="H32" s="52">
        <f t="shared" si="4"/>
        <v>5.1778886942550624E-2</v>
      </c>
      <c r="I32" s="52">
        <f>calculations!G32*'nutrient content'!E29</f>
        <v>0.12428087000316936</v>
      </c>
      <c r="J32" s="52">
        <f>$G32*'nutrient content'!X29</f>
        <v>7.9764745699887445E-3</v>
      </c>
      <c r="K32" s="52">
        <f>$G32*'nutrient content'!Y29</f>
        <v>0.10887484554795779</v>
      </c>
      <c r="L32" s="52">
        <f>$G32*'nutrient content'!Z29</f>
        <v>1.099761751464785E-2</v>
      </c>
      <c r="M32" s="52">
        <f>$G32*'nutrient content'!AA29</f>
        <v>3.4473116876630023E-3</v>
      </c>
      <c r="N32" s="52">
        <f>$G32*'nutrient content'!B29</f>
        <v>4.5715465593094314E-2</v>
      </c>
      <c r="O32" s="52">
        <f>$G32*'nutrient content'!C29</f>
        <v>1.0296234335918817E-3</v>
      </c>
      <c r="P32" s="52">
        <f>$G32*'nutrient content'!D29</f>
        <v>3.9188681951528516E-5</v>
      </c>
      <c r="Q32" s="52">
        <f>$G32*'nutrient content'!F29</f>
        <v>1.0897168575359363E-3</v>
      </c>
      <c r="R32" s="52">
        <f>$G32*'nutrient content'!G29</f>
        <v>0.23529931560946685</v>
      </c>
      <c r="S32" s="52">
        <f>$G32*'nutrient content'!H29</f>
        <v>5.9195548080737334E-3</v>
      </c>
      <c r="T32" s="52">
        <f>$G32*'nutrient content'!I29</f>
        <v>1.0951745852279524E-2</v>
      </c>
      <c r="U32" s="52">
        <f>$G32*'nutrient content'!J29</f>
        <v>5.0370496179425565E-3</v>
      </c>
      <c r="V32" s="52">
        <f>$G32*'nutrient content'!K29</f>
        <v>4.1791494744486124E-2</v>
      </c>
      <c r="W32" s="52">
        <f>$G32*'nutrient content'!L29</f>
        <v>4.8304336834136631E-2</v>
      </c>
      <c r="X32" s="52">
        <f>$G32*'nutrient content'!M29</f>
        <v>4.359560114196283E-4</v>
      </c>
      <c r="Y32" s="52">
        <f>$G32*'nutrient content'!N29</f>
        <v>0.19654140824311317</v>
      </c>
      <c r="Z32" s="52">
        <f>$G32*'nutrient content'!O29</f>
        <v>3.8532572732474151E-4</v>
      </c>
      <c r="AA32" s="52">
        <f>$G32*'nutrient content'!P29</f>
        <v>1.3916846587252096E-3</v>
      </c>
      <c r="AB32" s="52">
        <f>$G32*'nutrient content'!Q29</f>
        <v>5.138683907743918E-4</v>
      </c>
      <c r="AC32" s="52">
        <f>$G32*'nutrient content'!R29</f>
        <v>6.7015120599918619E-3</v>
      </c>
      <c r="AD32" s="52">
        <f>$G32*'nutrient content'!S29</f>
        <v>2.3415982544977543E-4</v>
      </c>
      <c r="AE32" s="52">
        <f>$G32*'nutrient content'!T29</f>
        <v>0.13503479265658733</v>
      </c>
      <c r="AF32" s="52">
        <f>$G32*'nutrient content'!U29</f>
        <v>1.5182805299854129E-3</v>
      </c>
      <c r="AG32" s="52">
        <f>$G32*'nutrient content'!V29</f>
        <v>2.4617302010359957E-3</v>
      </c>
      <c r="AH32" s="52">
        <f>$G32*'nutrient content'!W29</f>
        <v>1.5948163378147915E-4</v>
      </c>
      <c r="AI32" s="52">
        <f>$G32*'nutrient content'!AB29</f>
        <v>8.6139241197905373E-4</v>
      </c>
      <c r="AJ32" s="52">
        <f>$G32*'nutrient content'!AC29</f>
        <v>0</v>
      </c>
      <c r="AK32" s="52">
        <f>$G32*'nutrient content'!AD29</f>
        <v>8.9385704195771733E-7</v>
      </c>
      <c r="AL32" s="52">
        <f>$G32*'nutrient content'!AE29</f>
        <v>6.0496907163338789E-6</v>
      </c>
      <c r="AM32" s="52">
        <f>$G32*'nutrient content'!AF29</f>
        <v>4.2093206656646773E-6</v>
      </c>
      <c r="AN32" s="52">
        <f>$G32*'nutrient content'!AG29</f>
        <v>1.0105926581800775E-4</v>
      </c>
      <c r="AO32" s="52">
        <f>$G32*'nutrient content'!AH29</f>
        <v>3.4818739483578325E-2</v>
      </c>
      <c r="AP32" s="52">
        <f>$G32*'nutrient content'!AI29</f>
        <v>4.5921226286068899E-5</v>
      </c>
      <c r="AQ32" s="52">
        <f>$G32*'nutrient content'!AJ29</f>
        <v>0</v>
      </c>
      <c r="AR32" s="52">
        <f>$G32*'nutrient content'!AK29</f>
        <v>0</v>
      </c>
      <c r="AS32" s="52">
        <f>$G32*'nutrient content'!AL29</f>
        <v>0</v>
      </c>
      <c r="AT32" s="52">
        <f>$G32*'nutrient content'!AM29</f>
        <v>0</v>
      </c>
      <c r="AU32" s="52">
        <f>$G32*'nutrient content'!AN29</f>
        <v>0</v>
      </c>
      <c r="AV32" s="52">
        <f>$G32*'nutrient content'!AO29</f>
        <v>8.9385704195771733E-7</v>
      </c>
    </row>
    <row r="33" spans="1:48" x14ac:dyDescent="0.2">
      <c r="A33" s="3" t="s">
        <v>62</v>
      </c>
      <c r="B33" s="52">
        <f>TFP!E44</f>
        <v>5.5013934370800599E-3</v>
      </c>
      <c r="C33" s="110">
        <f>HLOOKUP(TFP!$C$14,cost!$C$6:$S$64,cost!$A34,FALSE)</f>
        <v>0.89363038831255781</v>
      </c>
      <c r="D33" s="110">
        <f t="shared" si="0"/>
        <v>6.1562291401799137E-3</v>
      </c>
      <c r="E33" s="52">
        <f t="shared" si="1"/>
        <v>1.3572162016343787E-3</v>
      </c>
      <c r="F33" s="52">
        <f t="shared" si="2"/>
        <v>3.3930405040859469E-4</v>
      </c>
      <c r="G33" s="52">
        <f t="shared" si="3"/>
        <v>2.0250753750591824E-4</v>
      </c>
      <c r="H33" s="52">
        <f t="shared" si="4"/>
        <v>2.0250753750591825E-2</v>
      </c>
      <c r="I33" s="52">
        <f>calculations!G33*'nutrient content'!E30</f>
        <v>3.0860982906976864E-2</v>
      </c>
      <c r="J33" s="52">
        <f>$G33*'nutrient content'!X30</f>
        <v>4.4029293660128189E-3</v>
      </c>
      <c r="K33" s="52">
        <f>$G33*'nutrient content'!Y30</f>
        <v>2.3724771872937221E-2</v>
      </c>
      <c r="L33" s="52">
        <f>$G33*'nutrient content'!Z30</f>
        <v>4.3853770034786507E-3</v>
      </c>
      <c r="M33" s="52">
        <f>$G33*'nutrient content'!AA30</f>
        <v>1.1650272010764969E-3</v>
      </c>
      <c r="N33" s="52">
        <f>$G33*'nutrient content'!B30</f>
        <v>1.9667414400023824E-2</v>
      </c>
      <c r="O33" s="52">
        <f>$G33*'nutrient content'!C30</f>
        <v>3.17805174192614E-4</v>
      </c>
      <c r="P33" s="52">
        <f>$G33*'nutrient content'!D30</f>
        <v>2.1320176926380721E-5</v>
      </c>
      <c r="Q33" s="52">
        <f>$G33*'nutrient content'!F30</f>
        <v>7.2694972826895736E-4</v>
      </c>
      <c r="R33" s="52">
        <f>$G33*'nutrient content'!G30</f>
        <v>4.5058312538176222E-2</v>
      </c>
      <c r="S33" s="52">
        <f>$G33*'nutrient content'!H30</f>
        <v>1.2766723457322195E-3</v>
      </c>
      <c r="T33" s="52">
        <f>$G33*'nutrient content'!I30</f>
        <v>1.0997195293917199E-2</v>
      </c>
      <c r="U33" s="52">
        <f>$G33*'nutrient content'!J30</f>
        <v>7.701997020270597E-4</v>
      </c>
      <c r="V33" s="52">
        <f>$G33*'nutrient content'!K30</f>
        <v>3.2120345677033653E-2</v>
      </c>
      <c r="W33" s="52">
        <f>$G33*'nutrient content'!L30</f>
        <v>3.2497177914239145E-2</v>
      </c>
      <c r="X33" s="52">
        <f>$G33*'nutrient content'!M30</f>
        <v>6.9926710971440149E-5</v>
      </c>
      <c r="Y33" s="52">
        <f>$G33*'nutrient content'!N30</f>
        <v>3.6864483676010994E-2</v>
      </c>
      <c r="Z33" s="52">
        <f>$G33*'nutrient content'!O30</f>
        <v>6.881227882103972E-5</v>
      </c>
      <c r="AA33" s="52">
        <f>$G33*'nutrient content'!P30</f>
        <v>2.1176105717084584E-4</v>
      </c>
      <c r="AB33" s="52">
        <f>$G33*'nutrient content'!Q30</f>
        <v>8.8870034928894203E-5</v>
      </c>
      <c r="AC33" s="52">
        <f>$G33*'nutrient content'!R30</f>
        <v>8.7872784203260558E-4</v>
      </c>
      <c r="AD33" s="52">
        <f>$G33*'nutrient content'!S30</f>
        <v>4.4061830449033071E-5</v>
      </c>
      <c r="AE33" s="52">
        <f>$G33*'nutrient content'!T30</f>
        <v>2.246283811073304E-2</v>
      </c>
      <c r="AF33" s="52">
        <f>$G33*'nutrient content'!U30</f>
        <v>6.0620839017083955E-4</v>
      </c>
      <c r="AG33" s="52">
        <f>$G33*'nutrient content'!V30</f>
        <v>1.3028628304651078E-3</v>
      </c>
      <c r="AH33" s="52">
        <f>$G33*'nutrient content'!W30</f>
        <v>6.8460161164330462E-5</v>
      </c>
      <c r="AI33" s="52">
        <f>$G33*'nutrient content'!AB30</f>
        <v>3.0913463847945553E-4</v>
      </c>
      <c r="AJ33" s="52">
        <f>$G33*'nutrient content'!AC30</f>
        <v>0</v>
      </c>
      <c r="AK33" s="52">
        <f>$G33*'nutrient content'!AD30</f>
        <v>7.1792271357739034E-8</v>
      </c>
      <c r="AL33" s="52">
        <f>$G33*'nutrient content'!AE30</f>
        <v>0</v>
      </c>
      <c r="AM33" s="52">
        <f>$G33*'nutrient content'!AF30</f>
        <v>0</v>
      </c>
      <c r="AN33" s="52">
        <f>$G33*'nutrient content'!AG30</f>
        <v>2.3185411051171394E-6</v>
      </c>
      <c r="AO33" s="52">
        <f>$G33*'nutrient content'!AH30</f>
        <v>6.6511511068938743E-4</v>
      </c>
      <c r="AP33" s="52">
        <f>$G33*'nutrient content'!AI30</f>
        <v>1.8792720008992697E-4</v>
      </c>
      <c r="AQ33" s="52">
        <f>$G33*'nutrient content'!AJ30</f>
        <v>0</v>
      </c>
      <c r="AR33" s="52">
        <f>$G33*'nutrient content'!AK30</f>
        <v>0</v>
      </c>
      <c r="AS33" s="52">
        <f>$G33*'nutrient content'!AL30</f>
        <v>0</v>
      </c>
      <c r="AT33" s="52">
        <f>$G33*'nutrient content'!AM30</f>
        <v>0</v>
      </c>
      <c r="AU33" s="52">
        <f>$G33*'nutrient content'!AN30</f>
        <v>0</v>
      </c>
      <c r="AV33" s="52">
        <f>$G33*'nutrient content'!AO30</f>
        <v>7.1792271357739034E-8</v>
      </c>
    </row>
    <row r="34" spans="1:48" x14ac:dyDescent="0.2">
      <c r="A34" s="3" t="s">
        <v>181</v>
      </c>
      <c r="B34" s="52">
        <f>TFP!E45</f>
        <v>5.7357500945817028</v>
      </c>
      <c r="C34" s="110">
        <f>HLOOKUP(TFP!$C$14,cost!$C$6:$S$64,cost!$A35,FALSE)</f>
        <v>0.33643237768170842</v>
      </c>
      <c r="D34" s="110">
        <f t="shared" si="0"/>
        <v>17.048745825552423</v>
      </c>
      <c r="E34" s="52">
        <f t="shared" si="1"/>
        <v>3.7586050689643447</v>
      </c>
      <c r="F34" s="52">
        <f t="shared" si="2"/>
        <v>0.93965126724108616</v>
      </c>
      <c r="G34" s="52">
        <f t="shared" si="3"/>
        <v>0.56081400741948761</v>
      </c>
      <c r="H34" s="52">
        <f t="shared" si="4"/>
        <v>56.081400741948762</v>
      </c>
      <c r="I34" s="52">
        <f>calculations!G34*'nutrient content'!E31</f>
        <v>122.18899103602079</v>
      </c>
      <c r="J34" s="52">
        <f>$G34*'nutrient content'!X31</f>
        <v>12.181899500568601</v>
      </c>
      <c r="K34" s="52">
        <f>$G34*'nutrient content'!Y31</f>
        <v>98.666163418897938</v>
      </c>
      <c r="L34" s="52">
        <f>$G34*'nutrient content'!Z31</f>
        <v>18.296854428879097</v>
      </c>
      <c r="M34" s="52">
        <f>$G34*'nutrient content'!AA31</f>
        <v>4.5714013739273103</v>
      </c>
      <c r="N34" s="52">
        <f>$G34*'nutrient content'!B31</f>
        <v>61.8256191806882</v>
      </c>
      <c r="O34" s="52">
        <f>$G34*'nutrient content'!C31</f>
        <v>0.81583734078180703</v>
      </c>
      <c r="P34" s="52">
        <f>$G34*'nutrient content'!D31</f>
        <v>8.8061031223404196E-2</v>
      </c>
      <c r="Q34" s="52">
        <f>$G34*'nutrient content'!F31</f>
        <v>2.4998546190377677</v>
      </c>
      <c r="R34" s="52">
        <f>$G34*'nutrient content'!G31</f>
        <v>195.32085428127405</v>
      </c>
      <c r="S34" s="52">
        <f>$G34*'nutrient content'!H31</f>
        <v>5.4933862032965841</v>
      </c>
      <c r="T34" s="52">
        <f>$G34*'nutrient content'!I31</f>
        <v>32.020886973681343</v>
      </c>
      <c r="U34" s="52">
        <f>$G34*'nutrient content'!J31</f>
        <v>4.4443248041888594</v>
      </c>
      <c r="V34" s="52">
        <f>$G34*'nutrient content'!K31</f>
        <v>100.94652934345879</v>
      </c>
      <c r="W34" s="52">
        <f>$G34*'nutrient content'!L31</f>
        <v>110.78773162232915</v>
      </c>
      <c r="X34" s="52">
        <f>$G34*'nutrient content'!M31</f>
        <v>0.38996432802880315</v>
      </c>
      <c r="Y34" s="52">
        <f>$G34*'nutrient content'!N31</f>
        <v>138.53625185738571</v>
      </c>
      <c r="Z34" s="52">
        <f>$G34*'nutrient content'!O31</f>
        <v>0.3481209752149752</v>
      </c>
      <c r="AA34" s="52">
        <f>$G34*'nutrient content'!P31</f>
        <v>1.2149595286329895</v>
      </c>
      <c r="AB34" s="52">
        <f>$G34*'nutrient content'!Q31</f>
        <v>0.47722227764152397</v>
      </c>
      <c r="AC34" s="52">
        <f>$G34*'nutrient content'!R31</f>
        <v>3.4752651694689027</v>
      </c>
      <c r="AD34" s="52">
        <f>$G34*'nutrient content'!S31</f>
        <v>0.75589472598693497</v>
      </c>
      <c r="AE34" s="52">
        <f>$G34*'nutrient content'!T31</f>
        <v>129.6292717877453</v>
      </c>
      <c r="AF34" s="52">
        <f>$G34*'nutrient content'!U31</f>
        <v>2.5269538194149885</v>
      </c>
      <c r="AG34" s="52">
        <f>$G34*'nutrient content'!V31</f>
        <v>5.2608147194820534</v>
      </c>
      <c r="AH34" s="52">
        <f>$G34*'nutrient content'!W31</f>
        <v>0.33834641056159742</v>
      </c>
      <c r="AI34" s="52">
        <f>$G34*'nutrient content'!AB31</f>
        <v>0.83791786043874295</v>
      </c>
      <c r="AJ34" s="52">
        <f>$G34*'nutrient content'!AC31</f>
        <v>0</v>
      </c>
      <c r="AK34" s="52">
        <f>$G34*'nutrient content'!AD31</f>
        <v>1.175722800248967E-2</v>
      </c>
      <c r="AL34" s="52">
        <f>$G34*'nutrient content'!AE31</f>
        <v>0</v>
      </c>
      <c r="AM34" s="52">
        <f>$G34*'nutrient content'!AF31</f>
        <v>1.6703513130143635E-2</v>
      </c>
      <c r="AN34" s="52">
        <f>$G34*'nutrient content'!AG31</f>
        <v>0.19121887299734783</v>
      </c>
      <c r="AO34" s="52">
        <f>$G34*'nutrient content'!AH31</f>
        <v>34.123641223844288</v>
      </c>
      <c r="AP34" s="52">
        <f>$G34*'nutrient content'!AI31</f>
        <v>0.63853322528317502</v>
      </c>
      <c r="AQ34" s="52">
        <f>$G34*'nutrient content'!AJ31</f>
        <v>0</v>
      </c>
      <c r="AR34" s="52">
        <f>$G34*'nutrient content'!AK31</f>
        <v>0</v>
      </c>
      <c r="AS34" s="52">
        <f>$G34*'nutrient content'!AL31</f>
        <v>0</v>
      </c>
      <c r="AT34" s="52">
        <f>$G34*'nutrient content'!AM31</f>
        <v>0</v>
      </c>
      <c r="AU34" s="52">
        <f>$G34*'nutrient content'!AN31</f>
        <v>0</v>
      </c>
      <c r="AV34" s="52">
        <f>$G34*'nutrient content'!AO31</f>
        <v>1.175722800248967E-2</v>
      </c>
    </row>
    <row r="35" spans="1:48" x14ac:dyDescent="0.2">
      <c r="A35" s="3" t="s">
        <v>566</v>
      </c>
      <c r="B35" s="52">
        <f>TFP!E46</f>
        <v>7.3271198041899268</v>
      </c>
      <c r="C35" s="110">
        <f>HLOOKUP(TFP!$C$14,cost!$C$6:$S$64,cost!$A36,FALSE)</f>
        <v>0.11036930951893342</v>
      </c>
      <c r="D35" s="110">
        <f t="shared" si="0"/>
        <v>66.387294041492467</v>
      </c>
      <c r="E35" s="52">
        <f t="shared" si="1"/>
        <v>14.63589301244655</v>
      </c>
      <c r="F35" s="52">
        <f t="shared" si="2"/>
        <v>3.6589732531116375</v>
      </c>
      <c r="G35" s="52">
        <f t="shared" si="3"/>
        <v>2.1837925671543577</v>
      </c>
      <c r="H35" s="52">
        <f t="shared" si="4"/>
        <v>218.37925671543576</v>
      </c>
      <c r="I35" s="52">
        <f>calculations!G35*'nutrient content'!E32</f>
        <v>245.71060230282848</v>
      </c>
      <c r="J35" s="52">
        <f>$G35*'nutrient content'!X32</f>
        <v>22.913725854097461</v>
      </c>
      <c r="K35" s="52">
        <f>$G35*'nutrient content'!Y32</f>
        <v>197.55133165206109</v>
      </c>
      <c r="L35" s="52">
        <f>$G35*'nutrient content'!Z32</f>
        <v>24.130112011922947</v>
      </c>
      <c r="M35" s="52">
        <f>$G35*'nutrient content'!AA32</f>
        <v>4.3294346148985658</v>
      </c>
      <c r="N35" s="52">
        <f>$G35*'nutrient content'!B32</f>
        <v>21.423138483009364</v>
      </c>
      <c r="O35" s="52">
        <f>$G35*'nutrient content'!C32</f>
        <v>0</v>
      </c>
      <c r="P35" s="52">
        <f>$G35*'nutrient content'!D32</f>
        <v>0.21781114136671842</v>
      </c>
      <c r="Q35" s="52">
        <f>$G35*'nutrient content'!F32</f>
        <v>3.9012824986262458</v>
      </c>
      <c r="R35" s="52">
        <f>$G35*'nutrient content'!G32</f>
        <v>11.016544789219205</v>
      </c>
      <c r="S35" s="52">
        <f>$G35*'nutrient content'!H32</f>
        <v>0.93336658659710425</v>
      </c>
      <c r="T35" s="52">
        <f>$G35*'nutrient content'!I32</f>
        <v>91.640650896586394</v>
      </c>
      <c r="U35" s="52">
        <f>$G35*'nutrient content'!J32</f>
        <v>3.2754095231084954</v>
      </c>
      <c r="V35" s="52">
        <f>$G35*'nutrient content'!K32</f>
        <v>179.05910353701017</v>
      </c>
      <c r="W35" s="52">
        <f>$G35*'nutrient content'!L32</f>
        <v>99.418384439042924</v>
      </c>
      <c r="X35" s="52">
        <f>$G35*'nutrient content'!M32</f>
        <v>7.197103449713485E-2</v>
      </c>
      <c r="Y35" s="52">
        <f>$G35*'nutrient content'!N32</f>
        <v>14.385952075129669</v>
      </c>
      <c r="Z35" s="52">
        <f>$G35*'nutrient content'!O32</f>
        <v>0.21003176712478305</v>
      </c>
      <c r="AA35" s="52">
        <f>$G35*'nutrient content'!P32</f>
        <v>0</v>
      </c>
      <c r="AB35" s="52">
        <f>$G35*'nutrient content'!Q32</f>
        <v>0.30249465223185773</v>
      </c>
      <c r="AC35" s="52">
        <f>$G35*'nutrient content'!R32</f>
        <v>0</v>
      </c>
      <c r="AD35" s="52">
        <f>$G35*'nutrient content'!S32</f>
        <v>0.18486441673298953</v>
      </c>
      <c r="AE35" s="52">
        <f>$G35*'nutrient content'!T32</f>
        <v>0.96149156415113712</v>
      </c>
      <c r="AF35" s="52">
        <f>$G35*'nutrient content'!U32</f>
        <v>1.4412414262029551</v>
      </c>
      <c r="AG35" s="52">
        <f>$G35*'nutrient content'!V32</f>
        <v>9.1465655985046563</v>
      </c>
      <c r="AH35" s="52">
        <f>$G35*'nutrient content'!W32</f>
        <v>0.57378560327700356</v>
      </c>
      <c r="AI35" s="52">
        <f>$G35*'nutrient content'!AB32</f>
        <v>2.2779876074003611</v>
      </c>
      <c r="AJ35" s="52">
        <f>$G35*'nutrient content'!AC32</f>
        <v>0</v>
      </c>
      <c r="AK35" s="52">
        <f>$G35*'nutrient content'!AD32</f>
        <v>0</v>
      </c>
      <c r="AL35" s="52">
        <f>$G35*'nutrient content'!AE32</f>
        <v>0</v>
      </c>
      <c r="AM35" s="52">
        <f>$G35*'nutrient content'!AF32</f>
        <v>0</v>
      </c>
      <c r="AN35" s="52">
        <f>$G35*'nutrient content'!AG32</f>
        <v>0</v>
      </c>
      <c r="AO35" s="52">
        <f>$G35*'nutrient content'!AH32</f>
        <v>3.4520319611620183</v>
      </c>
      <c r="AP35" s="52">
        <f>$G35*'nutrient content'!AI32</f>
        <v>2.2779876074003611</v>
      </c>
      <c r="AQ35" s="52">
        <f>$G35*'nutrient content'!AJ32</f>
        <v>0</v>
      </c>
      <c r="AR35" s="52">
        <f>$G35*'nutrient content'!AK32</f>
        <v>0</v>
      </c>
      <c r="AS35" s="52">
        <f>$G35*'nutrient content'!AL32</f>
        <v>0</v>
      </c>
      <c r="AT35" s="52">
        <f>$G35*'nutrient content'!AM32</f>
        <v>0</v>
      </c>
      <c r="AU35" s="52">
        <f>$G35*'nutrient content'!AN32</f>
        <v>0</v>
      </c>
      <c r="AV35" s="52">
        <f>$G35*'nutrient content'!AO32</f>
        <v>0</v>
      </c>
    </row>
    <row r="36" spans="1:48" x14ac:dyDescent="0.2">
      <c r="A36" s="3" t="s">
        <v>567</v>
      </c>
      <c r="B36" s="52">
        <f>TFP!E47</f>
        <v>3.3234154217812222</v>
      </c>
      <c r="C36" s="110">
        <f>HLOOKUP(TFP!$C$14,cost!$C$6:$S$64,cost!$A37,FALSE)</f>
        <v>0.13961924712687626</v>
      </c>
      <c r="D36" s="110">
        <f t="shared" si="0"/>
        <v>23.803418870760229</v>
      </c>
      <c r="E36" s="52">
        <f t="shared" si="1"/>
        <v>5.2477555675812857</v>
      </c>
      <c r="F36" s="52">
        <f t="shared" si="2"/>
        <v>1.3119388918953214</v>
      </c>
      <c r="G36" s="52">
        <f t="shared" si="3"/>
        <v>0.78300719969606025</v>
      </c>
      <c r="H36" s="52">
        <f t="shared" si="4"/>
        <v>78.300719969606021</v>
      </c>
      <c r="I36" s="52">
        <f>calculations!G36*'nutrient content'!E33</f>
        <v>106.17494512591128</v>
      </c>
      <c r="J36" s="52">
        <f>$G36*'nutrient content'!X33</f>
        <v>9.4386480307384257</v>
      </c>
      <c r="K36" s="52">
        <f>$G36*'nutrient content'!Y33</f>
        <v>82.930214273679496</v>
      </c>
      <c r="L36" s="52">
        <f>$G36*'nutrient content'!Z33</f>
        <v>11.439747676007242</v>
      </c>
      <c r="M36" s="52">
        <f>$G36*'nutrient content'!AA33</f>
        <v>2.4011551570137297</v>
      </c>
      <c r="N36" s="52">
        <f>$G36*'nutrient content'!B33</f>
        <v>8.3202070767079075</v>
      </c>
      <c r="O36" s="52">
        <f>$G36*'nutrient content'!C33</f>
        <v>1.9766818410773361</v>
      </c>
      <c r="P36" s="52">
        <f>$G36*'nutrient content'!D33</f>
        <v>5.8450343518816138E-2</v>
      </c>
      <c r="Q36" s="52">
        <f>$G36*'nutrient content'!F33</f>
        <v>0.52672407801006083</v>
      </c>
      <c r="R36" s="52">
        <f>$G36*'nutrient content'!G33</f>
        <v>75.589255060519591</v>
      </c>
      <c r="S36" s="52">
        <f>$G36*'nutrient content'!H33</f>
        <v>0.92296222703120123</v>
      </c>
      <c r="T36" s="52">
        <f>$G36*'nutrient content'!I33</f>
        <v>9.906217511649567</v>
      </c>
      <c r="U36" s="52">
        <f>$G36*'nutrient content'!J33</f>
        <v>1.0876930379901837</v>
      </c>
      <c r="V36" s="52">
        <f>$G36*'nutrient content'!K33</f>
        <v>34.185800840282731</v>
      </c>
      <c r="W36" s="52">
        <f>$G36*'nutrient content'!L33</f>
        <v>25.265105261074559</v>
      </c>
      <c r="X36" s="52">
        <f>$G36*'nutrient content'!M33</f>
        <v>2.768963275268628E-2</v>
      </c>
      <c r="Y36" s="52">
        <f>$G36*'nutrient content'!N33</f>
        <v>12.055504502416843</v>
      </c>
      <c r="Z36" s="52">
        <f>$G36*'nutrient content'!O33</f>
        <v>0.12327481721683864</v>
      </c>
      <c r="AA36" s="52">
        <f>$G36*'nutrient content'!P33</f>
        <v>5.6217140215480523E-3</v>
      </c>
      <c r="AB36" s="52">
        <f>$G36*'nutrient content'!Q33</f>
        <v>5.1195966250603457E-2</v>
      </c>
      <c r="AC36" s="52">
        <f>$G36*'nutrient content'!R33</f>
        <v>1.9857968035722491E-2</v>
      </c>
      <c r="AD36" s="52">
        <f>$G36*'nutrient content'!S33</f>
        <v>0.13974218167817262</v>
      </c>
      <c r="AE36" s="52">
        <f>$G36*'nutrient content'!T33</f>
        <v>2.7675229960785135</v>
      </c>
      <c r="AF36" s="52">
        <f>$G36*'nutrient content'!U33</f>
        <v>0.36162033087430445</v>
      </c>
      <c r="AG36" s="52">
        <f>$G36*'nutrient content'!V33</f>
        <v>3.6648605554949265</v>
      </c>
      <c r="AH36" s="52">
        <f>$G36*'nutrient content'!W33</f>
        <v>0.38630934517443932</v>
      </c>
      <c r="AI36" s="52">
        <f>$G36*'nutrient content'!AB33</f>
        <v>0.98955013022660432</v>
      </c>
      <c r="AJ36" s="52">
        <f>$G36*'nutrient content'!AC33</f>
        <v>7.2100778034418929E-4</v>
      </c>
      <c r="AK36" s="52">
        <f>$G36*'nutrient content'!AD33</f>
        <v>0</v>
      </c>
      <c r="AL36" s="52">
        <f>$G36*'nutrient content'!AE33</f>
        <v>1.9525300145817742E-3</v>
      </c>
      <c r="AM36" s="52">
        <f>$G36*'nutrient content'!AF33</f>
        <v>0</v>
      </c>
      <c r="AN36" s="52">
        <f>$G36*'nutrient content'!AG33</f>
        <v>0.30576298447173023</v>
      </c>
      <c r="AO36" s="52">
        <f>$G36*'nutrient content'!AH33</f>
        <v>3.8353178040881031</v>
      </c>
      <c r="AP36" s="52">
        <f>$G36*'nutrient content'!AI33</f>
        <v>2.4972411647990939E-3</v>
      </c>
      <c r="AQ36" s="52">
        <f>$G36*'nutrient content'!AJ33</f>
        <v>0</v>
      </c>
      <c r="AR36" s="52">
        <f>$G36*'nutrient content'!AK33</f>
        <v>0</v>
      </c>
      <c r="AS36" s="52">
        <f>$G36*'nutrient content'!AL33</f>
        <v>0</v>
      </c>
      <c r="AT36" s="52">
        <f>$G36*'nutrient content'!AM33</f>
        <v>0</v>
      </c>
      <c r="AU36" s="52">
        <f>$G36*'nutrient content'!AN33</f>
        <v>7.2100778034418929E-4</v>
      </c>
      <c r="AV36" s="52">
        <f>$G36*'nutrient content'!AO33</f>
        <v>0</v>
      </c>
    </row>
    <row r="37" spans="1:48" x14ac:dyDescent="0.2">
      <c r="A37" s="3" t="s">
        <v>568</v>
      </c>
      <c r="B37" s="52">
        <f>TFP!E48</f>
        <v>1.8597551516174208E-4</v>
      </c>
      <c r="C37" s="110">
        <f>HLOOKUP(TFP!$C$14,cost!$C$6:$S$64,cost!$A38,FALSE)</f>
        <v>0.83517298967493414</v>
      </c>
      <c r="D37" s="110">
        <f t="shared" si="0"/>
        <v>2.2267903471606215E-4</v>
      </c>
      <c r="E37" s="52">
        <f t="shared" si="1"/>
        <v>4.909232369347959E-5</v>
      </c>
      <c r="F37" s="52">
        <f t="shared" si="2"/>
        <v>1.2273080923369897E-5</v>
      </c>
      <c r="G37" s="52">
        <f t="shared" si="3"/>
        <v>7.3249682472388869E-6</v>
      </c>
      <c r="H37" s="52">
        <f t="shared" si="4"/>
        <v>7.324968247238887E-4</v>
      </c>
      <c r="I37" s="52">
        <f>calculations!G37*'nutrient content'!E34</f>
        <v>2.724559556242455E-3</v>
      </c>
      <c r="J37" s="52">
        <f>$G37*'nutrient content'!X34</f>
        <v>2.3540423851225838E-4</v>
      </c>
      <c r="K37" s="52">
        <f>$G37*'nutrient content'!Y34</f>
        <v>1.5473940474260417E-3</v>
      </c>
      <c r="L37" s="52">
        <f>$G37*'nutrient content'!Z34</f>
        <v>9.6303224077741662E-4</v>
      </c>
      <c r="M37" s="52">
        <f>$G37*'nutrient content'!AA34</f>
        <v>3.5700747100032582E-4</v>
      </c>
      <c r="N37" s="52">
        <f>$G37*'nutrient content'!B34</f>
        <v>3.1693200474661642E-4</v>
      </c>
      <c r="O37" s="52">
        <f>$G37*'nutrient content'!C34</f>
        <v>2.3909009182194912E-4</v>
      </c>
      <c r="P37" s="52">
        <f>$G37*'nutrient content'!D34</f>
        <v>1.3138853953329872E-6</v>
      </c>
      <c r="Q37" s="52">
        <f>$G37*'nutrient content'!F34</f>
        <v>1.3594242952328581E-5</v>
      </c>
      <c r="R37" s="52">
        <f>$G37*'nutrient content'!G34</f>
        <v>4.4955174445752538E-4</v>
      </c>
      <c r="S37" s="52">
        <f>$G37*'nutrient content'!H34</f>
        <v>1.9374378511901155E-5</v>
      </c>
      <c r="T37" s="52">
        <f>$G37*'nutrient content'!I34</f>
        <v>2.2066816080154394E-4</v>
      </c>
      <c r="U37" s="52">
        <f>$G37*'nutrient content'!J34</f>
        <v>1.8596095061533551E-5</v>
      </c>
      <c r="V37" s="52">
        <f>$G37*'nutrient content'!K34</f>
        <v>9.8567609234724509E-4</v>
      </c>
      <c r="W37" s="52">
        <f>$G37*'nutrient content'!L34</f>
        <v>1.0502262852741854E-3</v>
      </c>
      <c r="X37" s="52">
        <f>$G37*'nutrient content'!M34</f>
        <v>1.9693453400197088E-6</v>
      </c>
      <c r="Y37" s="52">
        <f>$G37*'nutrient content'!N34</f>
        <v>3.0408311635821451E-3</v>
      </c>
      <c r="Z37" s="52">
        <f>$G37*'nutrient content'!O34</f>
        <v>1.6232928982418693E-6</v>
      </c>
      <c r="AA37" s="52">
        <f>$G37*'nutrient content'!P34</f>
        <v>1.0649602347411756E-6</v>
      </c>
      <c r="AB37" s="52">
        <f>$G37*'nutrient content'!Q34</f>
        <v>1.3827468940536585E-6</v>
      </c>
      <c r="AC37" s="52">
        <f>$G37*'nutrient content'!R34</f>
        <v>3.4156961111858976E-6</v>
      </c>
      <c r="AD37" s="52">
        <f>$G37*'nutrient content'!S34</f>
        <v>6.1077657612387455E-6</v>
      </c>
      <c r="AE37" s="52">
        <f>$G37*'nutrient content'!T34</f>
        <v>7.7467536944753328E-4</v>
      </c>
      <c r="AF37" s="52">
        <f>$G37*'nutrient content'!U34</f>
        <v>6.19207494163086E-6</v>
      </c>
      <c r="AG37" s="52">
        <f>$G37*'nutrient content'!V34</f>
        <v>1.9932956534613708E-4</v>
      </c>
      <c r="AH37" s="52">
        <f>$G37*'nutrient content'!W34</f>
        <v>1.8364276810224111E-5</v>
      </c>
      <c r="AI37" s="52">
        <f>$G37*'nutrient content'!AB34</f>
        <v>1.2160644419888385E-5</v>
      </c>
      <c r="AJ37" s="52">
        <f>$G37*'nutrient content'!AC34</f>
        <v>0</v>
      </c>
      <c r="AK37" s="52">
        <f>$G37*'nutrient content'!AD34</f>
        <v>2.3331072016952913E-7</v>
      </c>
      <c r="AL37" s="52">
        <f>$G37*'nutrient content'!AE34</f>
        <v>2.8003067437921401E-7</v>
      </c>
      <c r="AM37" s="52">
        <f>$G37*'nutrient content'!AF34</f>
        <v>2.0622143559518048E-7</v>
      </c>
      <c r="AN37" s="52">
        <f>$G37*'nutrient content'!AG34</f>
        <v>1.7667456937644032E-6</v>
      </c>
      <c r="AO37" s="52">
        <f>$G37*'nutrient content'!AH34</f>
        <v>1.4731673959343541E-3</v>
      </c>
      <c r="AP37" s="52">
        <f>$G37*'nutrient content'!AI34</f>
        <v>6.9529701759454125E-6</v>
      </c>
      <c r="AQ37" s="52">
        <f>$G37*'nutrient content'!AJ34</f>
        <v>0</v>
      </c>
      <c r="AR37" s="52">
        <f>$G37*'nutrient content'!AK34</f>
        <v>0</v>
      </c>
      <c r="AS37" s="52">
        <f>$G37*'nutrient content'!AL34</f>
        <v>0</v>
      </c>
      <c r="AT37" s="52">
        <f>$G37*'nutrient content'!AM34</f>
        <v>0</v>
      </c>
      <c r="AU37" s="52">
        <f>$G37*'nutrient content'!AN34</f>
        <v>0</v>
      </c>
      <c r="AV37" s="52">
        <f>$G37*'nutrient content'!AO34</f>
        <v>2.3331072016952913E-7</v>
      </c>
    </row>
    <row r="38" spans="1:48" x14ac:dyDescent="0.2">
      <c r="A38" s="3" t="s">
        <v>630</v>
      </c>
      <c r="B38" s="52">
        <f>TFP!E49</f>
        <v>3.8920889403679859E-3</v>
      </c>
      <c r="C38" s="110">
        <f>HLOOKUP(TFP!$C$14,cost!$C$6:$S$64,cost!$A39,FALSE)</f>
        <v>0.420754822327425</v>
      </c>
      <c r="D38" s="110">
        <f t="shared" si="0"/>
        <v>9.2502539099580932E-3</v>
      </c>
      <c r="E38" s="52">
        <f t="shared" si="1"/>
        <v>2.0393319010637056E-3</v>
      </c>
      <c r="F38" s="52">
        <f t="shared" si="2"/>
        <v>5.0983297526592639E-4</v>
      </c>
      <c r="G38" s="52">
        <f t="shared" si="3"/>
        <v>3.0428466809072677E-4</v>
      </c>
      <c r="H38" s="52">
        <f t="shared" si="4"/>
        <v>3.0428466809072678E-2</v>
      </c>
      <c r="I38" s="52">
        <f>calculations!G38*'nutrient content'!E35</f>
        <v>0.11352107302617254</v>
      </c>
      <c r="J38" s="52">
        <f>$G38*'nutrient content'!X35</f>
        <v>5.7946326528384119E-3</v>
      </c>
      <c r="K38" s="52">
        <f>$G38*'nutrient content'!Y35</f>
        <v>6.6637628162311544E-2</v>
      </c>
      <c r="L38" s="52">
        <f>$G38*'nutrient content'!Z35</f>
        <v>4.3384992941253878E-2</v>
      </c>
      <c r="M38" s="52">
        <f>$G38*'nutrient content'!AA35</f>
        <v>1.0779286319279078E-2</v>
      </c>
      <c r="N38" s="52">
        <f>$G38*'nutrient content'!B35</f>
        <v>1.6978322228852656E-2</v>
      </c>
      <c r="O38" s="52">
        <f>$G38*'nutrient content'!C35</f>
        <v>7.972165126586989E-3</v>
      </c>
      <c r="P38" s="52">
        <f>$G38*'nutrient content'!D35</f>
        <v>4.6778958162670962E-5</v>
      </c>
      <c r="Q38" s="52">
        <f>$G38*'nutrient content'!F35</f>
        <v>4.9954293219919735E-4</v>
      </c>
      <c r="R38" s="52">
        <f>$G38*'nutrient content'!G35</f>
        <v>2.3238518150871249E-2</v>
      </c>
      <c r="S38" s="52">
        <f>$G38*'nutrient content'!H35</f>
        <v>6.4817383110430673E-4</v>
      </c>
      <c r="T38" s="52">
        <f>$G38*'nutrient content'!I35</f>
        <v>6.9864666893136715E-3</v>
      </c>
      <c r="U38" s="52">
        <f>$G38*'nutrient content'!J35</f>
        <v>6.3120497020583842E-4</v>
      </c>
      <c r="V38" s="52">
        <f>$G38*'nutrient content'!K35</f>
        <v>3.1438359018426149E-2</v>
      </c>
      <c r="W38" s="52">
        <f>$G38*'nutrient content'!L35</f>
        <v>3.6952023693259235E-2</v>
      </c>
      <c r="X38" s="52">
        <f>$G38*'nutrient content'!M35</f>
        <v>6.7405349499002272E-5</v>
      </c>
      <c r="Y38" s="52">
        <f>$G38*'nutrient content'!N35</f>
        <v>8.8348905726820484E-2</v>
      </c>
      <c r="Z38" s="52">
        <f>$G38*'nutrient content'!O35</f>
        <v>6.3877833834286339E-5</v>
      </c>
      <c r="AA38" s="52">
        <f>$G38*'nutrient content'!P35</f>
        <v>6.2870133942244638E-5</v>
      </c>
      <c r="AB38" s="52">
        <f>$G38*'nutrient content'!Q35</f>
        <v>2.8558158832871429E-5</v>
      </c>
      <c r="AC38" s="52">
        <f>$G38*'nutrient content'!R35</f>
        <v>5.2337974940994461E-4</v>
      </c>
      <c r="AD38" s="52">
        <f>$G38*'nutrient content'!S35</f>
        <v>2.5791130787438022E-4</v>
      </c>
      <c r="AE38" s="52">
        <f>$G38*'nutrient content'!T35</f>
        <v>2.0417386726827476E-2</v>
      </c>
      <c r="AF38" s="52">
        <f>$G38*'nutrient content'!U35</f>
        <v>1.9365984735765043E-4</v>
      </c>
      <c r="AG38" s="52">
        <f>$G38*'nutrient content'!V35</f>
        <v>1.0054646398702741E-2</v>
      </c>
      <c r="AH38" s="52">
        <f>$G38*'nutrient content'!W35</f>
        <v>8.1699183713392358E-4</v>
      </c>
      <c r="AI38" s="52">
        <f>$G38*'nutrient content'!AB35</f>
        <v>5.3371195238091141E-4</v>
      </c>
      <c r="AJ38" s="52">
        <f>$G38*'nutrient content'!AC35</f>
        <v>1.5443821602309597E-6</v>
      </c>
      <c r="AK38" s="52">
        <f>$G38*'nutrient content'!AD35</f>
        <v>1.4781489801533838E-5</v>
      </c>
      <c r="AL38" s="52">
        <f>$G38*'nutrient content'!AE35</f>
        <v>2.3034606100082295E-6</v>
      </c>
      <c r="AM38" s="52">
        <f>$G38*'nutrient content'!AF35</f>
        <v>2.6798537177103814E-5</v>
      </c>
      <c r="AN38" s="52">
        <f>$G38*'nutrient content'!AG35</f>
        <v>3.9960081437221003E-4</v>
      </c>
      <c r="AO38" s="52">
        <f>$G38*'nutrient content'!AH35</f>
        <v>6.3958795489069034E-2</v>
      </c>
      <c r="AP38" s="52">
        <f>$G38*'nutrient content'!AI35</f>
        <v>9.7080437698073036E-6</v>
      </c>
      <c r="AQ38" s="52">
        <f>$G38*'nutrient content'!AJ35</f>
        <v>0</v>
      </c>
      <c r="AR38" s="52">
        <f>$G38*'nutrient content'!AK35</f>
        <v>1.4588220349999379E-6</v>
      </c>
      <c r="AS38" s="52">
        <f>$G38*'nutrient content'!AL35</f>
        <v>2.4870693087003588E-8</v>
      </c>
      <c r="AT38" s="52">
        <f>$G38*'nutrient content'!AM35</f>
        <v>8.5560125231021867E-8</v>
      </c>
      <c r="AU38" s="52">
        <f>$G38*'nutrient content'!AN35</f>
        <v>0</v>
      </c>
      <c r="AV38" s="52">
        <f>$G38*'nutrient content'!AO35</f>
        <v>1.4781489801533838E-5</v>
      </c>
    </row>
    <row r="39" spans="1:48" x14ac:dyDescent="0.2">
      <c r="A39" s="3" t="s">
        <v>631</v>
      </c>
      <c r="B39" s="52">
        <f>TFP!E50</f>
        <v>6.7703147494516643E-3</v>
      </c>
      <c r="C39" s="110">
        <f>HLOOKUP(TFP!$C$14,cost!$C$6:$S$64,cost!$A40,FALSE)</f>
        <v>0.82821243834241365</v>
      </c>
      <c r="D39" s="110">
        <f t="shared" si="0"/>
        <v>8.1746112905546169E-3</v>
      </c>
      <c r="E39" s="52">
        <f t="shared" si="1"/>
        <v>1.8021932960864101E-3</v>
      </c>
      <c r="F39" s="52">
        <f t="shared" si="2"/>
        <v>4.5054832402160251E-4</v>
      </c>
      <c r="G39" s="52">
        <f t="shared" si="3"/>
        <v>2.6890168718929662E-4</v>
      </c>
      <c r="H39" s="52">
        <f t="shared" si="4"/>
        <v>2.6890168718929661E-2</v>
      </c>
      <c r="I39" s="52">
        <f>calculations!G39*'nutrient content'!E36</f>
        <v>0.12844017144595418</v>
      </c>
      <c r="J39" s="52">
        <f>$G39*'nutrient content'!X36</f>
        <v>9.1460409822427396E-3</v>
      </c>
      <c r="K39" s="52">
        <f>$G39*'nutrient content'!Y36</f>
        <v>6.7454911449881416E-2</v>
      </c>
      <c r="L39" s="52">
        <f>$G39*'nutrient content'!Z36</f>
        <v>5.5448030146862469E-2</v>
      </c>
      <c r="M39" s="52">
        <f>$G39*'nutrient content'!AA36</f>
        <v>1.3194437170810125E-2</v>
      </c>
      <c r="N39" s="52">
        <f>$G39*'nutrient content'!B36</f>
        <v>6.6346364005550398E-3</v>
      </c>
      <c r="O39" s="52">
        <f>$G39*'nutrient content'!C36</f>
        <v>1.8947635269499568E-3</v>
      </c>
      <c r="P39" s="52">
        <f>$G39*'nutrient content'!D36</f>
        <v>6.661292522138302E-5</v>
      </c>
      <c r="Q39" s="52">
        <f>$G39*'nutrient content'!F36</f>
        <v>2.3402664987992971E-3</v>
      </c>
      <c r="R39" s="52">
        <f>$G39*'nutrient content'!G36</f>
        <v>9.0895775249809387E-3</v>
      </c>
      <c r="S39" s="52">
        <f>$G39*'nutrient content'!H36</f>
        <v>6.9700769572292667E-4</v>
      </c>
      <c r="T39" s="52">
        <f>$G39*'nutrient content'!I36</f>
        <v>2.4873092803376837E-2</v>
      </c>
      <c r="U39" s="52">
        <f>$G39*'nutrient content'!J36</f>
        <v>6.0409397820792795E-4</v>
      </c>
      <c r="V39" s="52">
        <f>$G39*'nutrient content'!K36</f>
        <v>5.8666220192086532E-2</v>
      </c>
      <c r="W39" s="52">
        <f>$G39*'nutrient content'!L36</f>
        <v>5.6047587873291123E-2</v>
      </c>
      <c r="X39" s="52">
        <f>$G39*'nutrient content'!M36</f>
        <v>3.9975911968100005E-5</v>
      </c>
      <c r="Y39" s="52">
        <f>$G39*'nutrient content'!N36</f>
        <v>0.18387915828756518</v>
      </c>
      <c r="Z39" s="52">
        <f>$G39*'nutrient content'!O36</f>
        <v>4.876226602120572E-5</v>
      </c>
      <c r="AA39" s="52">
        <f>$G39*'nutrient content'!P36</f>
        <v>2.2769743820093792E-6</v>
      </c>
      <c r="AB39" s="52">
        <f>$G39*'nutrient content'!Q36</f>
        <v>4.2670837639800434E-5</v>
      </c>
      <c r="AC39" s="52">
        <f>$G39*'nutrient content'!R36</f>
        <v>3.9218537547510352E-5</v>
      </c>
      <c r="AD39" s="52">
        <f>$G39*'nutrient content'!S36</f>
        <v>8.0138877806891853E-4</v>
      </c>
      <c r="AE39" s="52">
        <f>$G39*'nutrient content'!T36</f>
        <v>6.9608712322001033E-3</v>
      </c>
      <c r="AF39" s="52">
        <f>$G39*'nutrient content'!U36</f>
        <v>5.9051773198426491E-4</v>
      </c>
      <c r="AG39" s="52">
        <f>$G39*'nutrient content'!V36</f>
        <v>1.8974985810578826E-2</v>
      </c>
      <c r="AH39" s="52">
        <f>$G39*'nutrient content'!W36</f>
        <v>1.13879793435998E-3</v>
      </c>
      <c r="AI39" s="52">
        <f>$G39*'nutrient content'!AB36</f>
        <v>7.7951639243202975E-4</v>
      </c>
      <c r="AJ39" s="52">
        <f>$G39*'nutrient content'!AC36</f>
        <v>6.6832313364450548E-6</v>
      </c>
      <c r="AK39" s="52">
        <f>$G39*'nutrient content'!AD36</f>
        <v>0</v>
      </c>
      <c r="AL39" s="52">
        <f>$G39*'nutrient content'!AE36</f>
        <v>1.6095456783024754E-6</v>
      </c>
      <c r="AM39" s="52">
        <f>$G39*'nutrient content'!AF36</f>
        <v>1.7761267472882091E-5</v>
      </c>
      <c r="AN39" s="52">
        <f>$G39*'nutrient content'!AG36</f>
        <v>3.4443664532406398E-3</v>
      </c>
      <c r="AO39" s="52">
        <f>$G39*'nutrient content'!AH36</f>
        <v>2.5764705498727333E-2</v>
      </c>
      <c r="AP39" s="52">
        <f>$G39*'nutrient content'!AI36</f>
        <v>7.2171701698436625E-4</v>
      </c>
      <c r="AQ39" s="52">
        <f>$G39*'nutrient content'!AJ36</f>
        <v>0</v>
      </c>
      <c r="AR39" s="52">
        <f>$G39*'nutrient content'!AK36</f>
        <v>0</v>
      </c>
      <c r="AS39" s="52">
        <f>$G39*'nutrient content'!AL36</f>
        <v>0</v>
      </c>
      <c r="AT39" s="52">
        <f>$G39*'nutrient content'!AM36</f>
        <v>6.6832313364450548E-6</v>
      </c>
      <c r="AU39" s="52">
        <f>$G39*'nutrient content'!AN36</f>
        <v>0</v>
      </c>
      <c r="AV39" s="52">
        <f>$G39*'nutrient content'!AO36</f>
        <v>0</v>
      </c>
    </row>
    <row r="40" spans="1:48" x14ac:dyDescent="0.2">
      <c r="A40" s="3" t="s">
        <v>348</v>
      </c>
      <c r="B40" s="52">
        <f>TFP!E51</f>
        <v>9.3842259518792819</v>
      </c>
      <c r="C40" s="110">
        <f>HLOOKUP(TFP!$C$14,cost!$C$6:$S$64,cost!$A41,FALSE)</f>
        <v>0.74231271899943641</v>
      </c>
      <c r="D40" s="110">
        <f t="shared" si="0"/>
        <v>12.641876815108709</v>
      </c>
      <c r="E40" s="52">
        <f t="shared" si="1"/>
        <v>2.7870567585842219</v>
      </c>
      <c r="F40" s="52">
        <f t="shared" si="2"/>
        <v>0.69676418964605547</v>
      </c>
      <c r="G40" s="52">
        <f t="shared" si="3"/>
        <v>0.41585121102331285</v>
      </c>
      <c r="H40" s="52">
        <f t="shared" si="4"/>
        <v>41.585121102331286</v>
      </c>
      <c r="I40" s="52">
        <f>calculations!G40*'nutrient content'!E37</f>
        <v>202.44082973144725</v>
      </c>
      <c r="J40" s="52">
        <f>$G40*'nutrient content'!X37</f>
        <v>13.272465484607066</v>
      </c>
      <c r="K40" s="52">
        <f>$G40*'nutrient content'!Y37</f>
        <v>105.56730723647613</v>
      </c>
      <c r="L40" s="52">
        <f>$G40*'nutrient content'!Z37</f>
        <v>86.08716058333529</v>
      </c>
      <c r="M40" s="52">
        <f>$G40*'nutrient content'!AA37</f>
        <v>16.274874032192873</v>
      </c>
      <c r="N40" s="52">
        <f>$G40*'nutrient content'!B37</f>
        <v>44.637884647677794</v>
      </c>
      <c r="O40" s="52">
        <f>$G40*'nutrient content'!C37</f>
        <v>0.59953755717891877</v>
      </c>
      <c r="P40" s="52">
        <f>$G40*'nutrient content'!D37</f>
        <v>6.4434373421494773E-2</v>
      </c>
      <c r="Q40" s="52">
        <f>$G40*'nutrient content'!F37</f>
        <v>1.5744364779793802</v>
      </c>
      <c r="R40" s="52">
        <f>$G40*'nutrient content'!G37</f>
        <v>48.832937376306958</v>
      </c>
      <c r="S40" s="52">
        <f>$G40*'nutrient content'!H37</f>
        <v>1.2438601655712731</v>
      </c>
      <c r="T40" s="52">
        <f>$G40*'nutrient content'!I37</f>
        <v>20.878943926570113</v>
      </c>
      <c r="U40" s="52">
        <f>$G40*'nutrient content'!J37</f>
        <v>1.3238175965343066</v>
      </c>
      <c r="V40" s="52">
        <f>$G40*'nutrient content'!K37</f>
        <v>69.74691911778072</v>
      </c>
      <c r="W40" s="52">
        <f>$G40*'nutrient content'!L37</f>
        <v>72.54263512933646</v>
      </c>
      <c r="X40" s="52">
        <f>$G40*'nutrient content'!M37</f>
        <v>0.133466534791297</v>
      </c>
      <c r="Y40" s="52">
        <f>$G40*'nutrient content'!N37</f>
        <v>365.07567320626981</v>
      </c>
      <c r="Z40" s="52">
        <f>$G40*'nutrient content'!O37</f>
        <v>0.11589545117294034</v>
      </c>
      <c r="AA40" s="52">
        <f>$G40*'nutrient content'!P37</f>
        <v>3.1079062119861018E-2</v>
      </c>
      <c r="AB40" s="52">
        <f>$G40*'nutrient content'!Q37</f>
        <v>7.9279593117946384E-2</v>
      </c>
      <c r="AC40" s="52">
        <f>$G40*'nutrient content'!R37</f>
        <v>8.5168915371491766E-2</v>
      </c>
      <c r="AD40" s="52">
        <f>$G40*'nutrient content'!S37</f>
        <v>0.9568896288651878</v>
      </c>
      <c r="AE40" s="52">
        <f>$G40*'nutrient content'!T37</f>
        <v>3.031162735989652</v>
      </c>
      <c r="AF40" s="52">
        <f>$G40*'nutrient content'!U37</f>
        <v>0.44221921003911702</v>
      </c>
      <c r="AG40" s="52">
        <f>$G40*'nutrient content'!V37</f>
        <v>17.824925031905192</v>
      </c>
      <c r="AH40" s="52">
        <f>$G40*'nutrient content'!W37</f>
        <v>1.2609193863730359</v>
      </c>
      <c r="AI40" s="52">
        <f>$G40*'nutrient content'!AB37</f>
        <v>1.8860253380671361</v>
      </c>
      <c r="AJ40" s="52">
        <f>$G40*'nutrient content'!AC37</f>
        <v>4.6440675894348553E-4</v>
      </c>
      <c r="AK40" s="52">
        <f>$G40*'nutrient content'!AD37</f>
        <v>0</v>
      </c>
      <c r="AL40" s="52">
        <f>$G40*'nutrient content'!AE37</f>
        <v>1.8036762526903082E-2</v>
      </c>
      <c r="AM40" s="52">
        <f>$G40*'nutrient content'!AF37</f>
        <v>2.3908952186809603E-2</v>
      </c>
      <c r="AN40" s="52">
        <f>$G40*'nutrient content'!AG37</f>
        <v>6.5019541272394088</v>
      </c>
      <c r="AO40" s="52">
        <f>$G40*'nutrient content'!AH37</f>
        <v>18.873958913080145</v>
      </c>
      <c r="AP40" s="52">
        <f>$G40*'nutrient content'!AI37</f>
        <v>9.532830842414618E-3</v>
      </c>
      <c r="AQ40" s="52">
        <f>$G40*'nutrient content'!AJ37</f>
        <v>0</v>
      </c>
      <c r="AR40" s="52">
        <f>$G40*'nutrient content'!AK37</f>
        <v>8.1119783800732475E-6</v>
      </c>
      <c r="AS40" s="52">
        <f>$G40*'nutrient content'!AL37</f>
        <v>0</v>
      </c>
      <c r="AT40" s="52">
        <f>$G40*'nutrient content'!AM37</f>
        <v>2.6764813440553867E-4</v>
      </c>
      <c r="AU40" s="52">
        <f>$G40*'nutrient content'!AN37</f>
        <v>1.8864664615787362E-4</v>
      </c>
      <c r="AV40" s="52">
        <f>$G40*'nutrient content'!AO37</f>
        <v>0</v>
      </c>
    </row>
    <row r="41" spans="1:48" x14ac:dyDescent="0.2">
      <c r="A41" s="2" t="s">
        <v>582</v>
      </c>
      <c r="B41" s="52">
        <f>TFP!E52</f>
        <v>3.8270025298307711E-2</v>
      </c>
      <c r="C41" s="110">
        <f>HLOOKUP(TFP!$C$14,cost!$C$6:$S$64,cost!$A42,FALSE)</f>
        <v>0.44607635036182786</v>
      </c>
      <c r="D41" s="110">
        <f t="shared" si="0"/>
        <v>8.5792544857546421E-2</v>
      </c>
      <c r="E41" s="52">
        <f t="shared" si="1"/>
        <v>1.891401850203115E-2</v>
      </c>
      <c r="F41" s="52">
        <f t="shared" si="2"/>
        <v>4.7285046255077876E-3</v>
      </c>
      <c r="G41" s="52">
        <f t="shared" si="3"/>
        <v>2.8221231861035008E-3</v>
      </c>
      <c r="H41" s="52">
        <f t="shared" si="4"/>
        <v>0.28221231861035007</v>
      </c>
      <c r="I41" s="52">
        <f>calculations!G41*'nutrient content'!E38</f>
        <v>0.66845335545011997</v>
      </c>
      <c r="J41" s="52">
        <f>$G41*'nutrient content'!X38</f>
        <v>0.11259963984595946</v>
      </c>
      <c r="K41" s="52">
        <f>$G41*'nutrient content'!Y38</f>
        <v>0.2747802118524032</v>
      </c>
      <c r="L41" s="52">
        <f>$G41*'nutrient content'!Z38</f>
        <v>0.27908631374690895</v>
      </c>
      <c r="M41" s="52">
        <f>$G41*'nutrient content'!AA38</f>
        <v>0.10750632843560012</v>
      </c>
      <c r="N41" s="52">
        <f>$G41*'nutrient content'!B38</f>
        <v>0.36882352548015562</v>
      </c>
      <c r="O41" s="52">
        <f>$G41*'nutrient content'!C38</f>
        <v>7.2245045190347093E-2</v>
      </c>
      <c r="P41" s="52">
        <f>$G41*'nutrient content'!D38</f>
        <v>3.292879625320804E-4</v>
      </c>
      <c r="Q41" s="52">
        <f>$G41*'nutrient content'!F38</f>
        <v>4.5055734750729928E-3</v>
      </c>
      <c r="R41" s="52">
        <f>$G41*'nutrient content'!G38</f>
        <v>0.19887776048904915</v>
      </c>
      <c r="S41" s="52">
        <f>$G41*'nutrient content'!H38</f>
        <v>5.1282278419548322E-3</v>
      </c>
      <c r="T41" s="52">
        <f>$G41*'nutrient content'!I38</f>
        <v>6.2618932508755235E-2</v>
      </c>
      <c r="U41" s="52">
        <f>$G41*'nutrient content'!J38</f>
        <v>6.2294896649774884E-3</v>
      </c>
      <c r="V41" s="52">
        <f>$G41*'nutrient content'!K38</f>
        <v>0.42652184869112131</v>
      </c>
      <c r="W41" s="52">
        <f>$G41*'nutrient content'!L38</f>
        <v>0.49728580104096465</v>
      </c>
      <c r="X41" s="52">
        <f>$G41*'nutrient content'!M38</f>
        <v>5.7302335784989206E-4</v>
      </c>
      <c r="Y41" s="52">
        <f>$G41*'nutrient content'!N38</f>
        <v>0.89402840052696519</v>
      </c>
      <c r="Z41" s="52">
        <f>$G41*'nutrient content'!O38</f>
        <v>5.7676594156454272E-4</v>
      </c>
      <c r="AA41" s="52">
        <f>$G41*'nutrient content'!P38</f>
        <v>1.0849378199285012E-3</v>
      </c>
      <c r="AB41" s="52">
        <f>$G41*'nutrient content'!Q38</f>
        <v>3.0860934524399604E-4</v>
      </c>
      <c r="AC41" s="52">
        <f>$G41*'nutrient content'!R38</f>
        <v>1.0504895926391932E-2</v>
      </c>
      <c r="AD41" s="52">
        <f>$G41*'nutrient content'!S38</f>
        <v>1.7351973041344645E-3</v>
      </c>
      <c r="AE41" s="52">
        <f>$G41*'nutrient content'!T38</f>
        <v>0.1119110081339717</v>
      </c>
      <c r="AF41" s="52">
        <f>$G41*'nutrient content'!U38</f>
        <v>3.7821686539868775E-3</v>
      </c>
      <c r="AG41" s="52">
        <f>$G41*'nutrient content'!V38</f>
        <v>3.6553941446659965E-2</v>
      </c>
      <c r="AH41" s="52">
        <f>$G41*'nutrient content'!W38</f>
        <v>3.6953277035399294E-3</v>
      </c>
      <c r="AI41" s="52">
        <f>$G41*'nutrient content'!AB38</f>
        <v>4.2075649580239323E-3</v>
      </c>
      <c r="AJ41" s="52">
        <f>$G41*'nutrient content'!AC38</f>
        <v>4.7801037296276415E-4</v>
      </c>
      <c r="AK41" s="52">
        <f>$G41*'nutrient content'!AD38</f>
        <v>3.4444363564303814E-6</v>
      </c>
      <c r="AL41" s="52">
        <f>$G41*'nutrient content'!AE38</f>
        <v>9.5119240760221078E-4</v>
      </c>
      <c r="AM41" s="52">
        <f>$G41*'nutrient content'!AF38</f>
        <v>1.1047850910977986E-3</v>
      </c>
      <c r="AN41" s="52">
        <f>$G41*'nutrient content'!AG38</f>
        <v>2.5542589622278757E-3</v>
      </c>
      <c r="AO41" s="52">
        <f>$G41*'nutrient content'!AH38</f>
        <v>0.19394529132615243</v>
      </c>
      <c r="AP41" s="52">
        <f>$G41*'nutrient content'!AI38</f>
        <v>2.065812076890216E-7</v>
      </c>
      <c r="AQ41" s="52">
        <f>$G41*'nutrient content'!AJ38</f>
        <v>6.5437166572803716E-7</v>
      </c>
      <c r="AR41" s="52">
        <f>$G41*'nutrient content'!AK38</f>
        <v>1.7536435087041117E-6</v>
      </c>
      <c r="AS41" s="52">
        <f>$G41*'nutrient content'!AL38</f>
        <v>3.9444393804649891E-5</v>
      </c>
      <c r="AT41" s="52">
        <f>$G41*'nutrient content'!AM38</f>
        <v>6.6829762758686914E-6</v>
      </c>
      <c r="AU41" s="52">
        <f>$G41*'nutrient content'!AN38</f>
        <v>4.6852230739737521E-4</v>
      </c>
      <c r="AV41" s="52">
        <f>$G41*'nutrient content'!AO38</f>
        <v>3.4444363564303814E-6</v>
      </c>
    </row>
    <row r="42" spans="1:48" x14ac:dyDescent="0.2">
      <c r="A42" s="3" t="s">
        <v>349</v>
      </c>
      <c r="B42" s="52">
        <f>TFP!E53</f>
        <v>2.3235205509897196E-2</v>
      </c>
      <c r="C42" s="110">
        <f>HLOOKUP(TFP!$C$14,cost!$C$6:$S$64,cost!$A43,FALSE)</f>
        <v>0.21171703217997798</v>
      </c>
      <c r="D42" s="110">
        <f t="shared" si="0"/>
        <v>0.10974651056956647</v>
      </c>
      <c r="E42" s="52">
        <f t="shared" si="1"/>
        <v>2.4194963966773533E-2</v>
      </c>
      <c r="F42" s="52">
        <f t="shared" si="2"/>
        <v>6.0487409916933832E-3</v>
      </c>
      <c r="G42" s="52">
        <f t="shared" si="3"/>
        <v>3.6100825845252131E-3</v>
      </c>
      <c r="H42" s="52">
        <f t="shared" si="4"/>
        <v>0.36100825845252132</v>
      </c>
      <c r="I42" s="52">
        <f>calculations!G42*'nutrient content'!E39</f>
        <v>0.32665124122301836</v>
      </c>
      <c r="J42" s="52">
        <f>$G42*'nutrient content'!X39</f>
        <v>4.826051459770881E-2</v>
      </c>
      <c r="K42" s="52">
        <f>$G42*'nutrient content'!Y39</f>
        <v>0.19084016055267161</v>
      </c>
      <c r="L42" s="52">
        <f>$G42*'nutrient content'!Z39</f>
        <v>8.6537962027408544E-2</v>
      </c>
      <c r="M42" s="52">
        <f>$G42*'nutrient content'!AA39</f>
        <v>2.6321001170942573E-2</v>
      </c>
      <c r="N42" s="52">
        <f>$G42*'nutrient content'!B39</f>
        <v>6.5925684723512054E-2</v>
      </c>
      <c r="O42" s="52">
        <f>$G42*'nutrient content'!C39</f>
        <v>2.6562461603596356E-2</v>
      </c>
      <c r="P42" s="52">
        <f>$G42*'nutrient content'!D39</f>
        <v>2.7103501623808025E-4</v>
      </c>
      <c r="Q42" s="52">
        <f>$G42*'nutrient content'!F39</f>
        <v>3.1549662889063476E-3</v>
      </c>
      <c r="R42" s="52">
        <f>$G42*'nutrient content'!G39</f>
        <v>0.14850779097843639</v>
      </c>
      <c r="S42" s="52">
        <f>$G42*'nutrient content'!H39</f>
        <v>3.3044775738105044E-3</v>
      </c>
      <c r="T42" s="52">
        <f>$G42*'nutrient content'!I39</f>
        <v>4.122576605707573E-2</v>
      </c>
      <c r="U42" s="52">
        <f>$G42*'nutrient content'!J39</f>
        <v>4.1554342488537444E-3</v>
      </c>
      <c r="V42" s="52">
        <f>$G42*'nutrient content'!K39</f>
        <v>0.1515896909261735</v>
      </c>
      <c r="W42" s="52">
        <f>$G42*'nutrient content'!L39</f>
        <v>0.36745454026577018</v>
      </c>
      <c r="X42" s="52">
        <f>$G42*'nutrient content'!M39</f>
        <v>2.3498570471421648E-4</v>
      </c>
      <c r="Y42" s="52">
        <f>$G42*'nutrient content'!N39</f>
        <v>0.80927928837747298</v>
      </c>
      <c r="Z42" s="52">
        <f>$G42*'nutrient content'!O39</f>
        <v>3.2979205985647777E-4</v>
      </c>
      <c r="AA42" s="52">
        <f>$G42*'nutrient content'!P39</f>
        <v>3.3879544646655754E-4</v>
      </c>
      <c r="AB42" s="52">
        <f>$G42*'nutrient content'!Q39</f>
        <v>2.059885630678656E-4</v>
      </c>
      <c r="AC42" s="52">
        <f>$G42*'nutrient content'!R39</f>
        <v>7.6405541943755217E-3</v>
      </c>
      <c r="AD42" s="52">
        <f>$G42*'nutrient content'!S39</f>
        <v>1.6399488646254487E-3</v>
      </c>
      <c r="AE42" s="52">
        <f>$G42*'nutrient content'!T39</f>
        <v>5.0516224944069064E-2</v>
      </c>
      <c r="AF42" s="52">
        <f>$G42*'nutrient content'!U39</f>
        <v>1.526093026598292E-3</v>
      </c>
      <c r="AG42" s="52">
        <f>$G42*'nutrient content'!V39</f>
        <v>1.9041560897566978E-2</v>
      </c>
      <c r="AH42" s="52">
        <f>$G42*'nutrient content'!W39</f>
        <v>1.4913603720281762E-3</v>
      </c>
      <c r="AI42" s="52">
        <f>$G42*'nutrient content'!AB39</f>
        <v>2.1523204834150876E-3</v>
      </c>
      <c r="AJ42" s="52">
        <f>$G42*'nutrient content'!AC39</f>
        <v>4.166104246383736E-4</v>
      </c>
      <c r="AK42" s="52">
        <f>$G42*'nutrient content'!AD39</f>
        <v>5.1352220709613201E-7</v>
      </c>
      <c r="AL42" s="52">
        <f>$G42*'nutrient content'!AE39</f>
        <v>6.1489100663961928E-5</v>
      </c>
      <c r="AM42" s="52">
        <f>$G42*'nutrient content'!AF39</f>
        <v>6.8796102089110174E-4</v>
      </c>
      <c r="AN42" s="52">
        <f>$G42*'nutrient content'!AG39</f>
        <v>1.2402092579402552E-3</v>
      </c>
      <c r="AO42" s="52">
        <f>$G42*'nutrient content'!AH39</f>
        <v>5.5107286510222737E-2</v>
      </c>
      <c r="AP42" s="52">
        <f>$G42*'nutrient content'!AI39</f>
        <v>1.0261188700892116E-5</v>
      </c>
      <c r="AQ42" s="52">
        <f>$G42*'nutrient content'!AJ39</f>
        <v>4.9500288906986137E-6</v>
      </c>
      <c r="AR42" s="52">
        <f>$G42*'nutrient content'!AK39</f>
        <v>4.8995714717812354E-6</v>
      </c>
      <c r="AS42" s="52">
        <f>$G42*'nutrient content'!AL39</f>
        <v>4.4866117269228975E-5</v>
      </c>
      <c r="AT42" s="52">
        <f>$G42*'nutrient content'!AM39</f>
        <v>4.4244349714676404E-6</v>
      </c>
      <c r="AU42" s="52">
        <f>$G42*'nutrient content'!AN39</f>
        <v>4.0254011074854641E-4</v>
      </c>
      <c r="AV42" s="52">
        <f>$G42*'nutrient content'!AO39</f>
        <v>5.1352220709613201E-7</v>
      </c>
    </row>
    <row r="43" spans="1:48" x14ac:dyDescent="0.2">
      <c r="A43" s="3" t="s">
        <v>350</v>
      </c>
      <c r="B43" s="52">
        <f>TFP!E54</f>
        <v>9.1029054601982795E-2</v>
      </c>
      <c r="C43" s="110">
        <f>HLOOKUP(TFP!$C$14,cost!$C$6:$S$64,cost!$A44,FALSE)</f>
        <v>0.32924085535557429</v>
      </c>
      <c r="D43" s="110">
        <f t="shared" si="0"/>
        <v>0.27648164898512678</v>
      </c>
      <c r="E43" s="52">
        <f t="shared" si="1"/>
        <v>6.0953769736751054E-2</v>
      </c>
      <c r="F43" s="52">
        <f t="shared" si="2"/>
        <v>1.5238442434187763E-2</v>
      </c>
      <c r="G43" s="52">
        <f t="shared" si="3"/>
        <v>9.0947910850370656E-3</v>
      </c>
      <c r="H43" s="52">
        <f t="shared" si="4"/>
        <v>0.90947910850370661</v>
      </c>
      <c r="I43" s="52">
        <f>calculations!G43*'nutrient content'!E40</f>
        <v>0.3858097065787004</v>
      </c>
      <c r="J43" s="52">
        <f>$G43*'nutrient content'!X40</f>
        <v>2.1658834020993702E-2</v>
      </c>
      <c r="K43" s="52">
        <f>$G43*'nutrient content'!Y40</f>
        <v>0.36320813186172979</v>
      </c>
      <c r="L43" s="52">
        <f>$G43*'nutrient content'!Z40</f>
        <v>1.10100460872998E-2</v>
      </c>
      <c r="M43" s="52">
        <f>$G43*'nutrient content'!AA40</f>
        <v>1.4284589288762815E-3</v>
      </c>
      <c r="N43" s="52">
        <f>$G43*'nutrient content'!B40</f>
        <v>8.0037319317311714E-2</v>
      </c>
      <c r="O43" s="52">
        <f>$G43*'nutrient content'!C40</f>
        <v>1.0225092414083804E-5</v>
      </c>
      <c r="P43" s="52">
        <f>$G43*'nutrient content'!D40</f>
        <v>5.22659305856188E-4</v>
      </c>
      <c r="Q43" s="52">
        <f>$G43*'nutrient content'!F40</f>
        <v>1.8235401565615049E-3</v>
      </c>
      <c r="R43" s="52">
        <f>$G43*'nutrient content'!G40</f>
        <v>0.19950659241900265</v>
      </c>
      <c r="S43" s="52">
        <f>$G43*'nutrient content'!H40</f>
        <v>3.3125686861455953E-3</v>
      </c>
      <c r="T43" s="52">
        <f>$G43*'nutrient content'!I40</f>
        <v>9.969395258304696E-2</v>
      </c>
      <c r="U43" s="52">
        <f>$G43*'nutrient content'!J40</f>
        <v>2.6505747185825053E-3</v>
      </c>
      <c r="V43" s="52">
        <f>$G43*'nutrient content'!K40</f>
        <v>0.12866419377889823</v>
      </c>
      <c r="W43" s="52">
        <f>$G43*'nutrient content'!L40</f>
        <v>1.593884723268209</v>
      </c>
      <c r="X43" s="52">
        <f>$G43*'nutrient content'!M40</f>
        <v>2.4459296094980792E-4</v>
      </c>
      <c r="Y43" s="52">
        <f>$G43*'nutrient content'!N40</f>
        <v>1.9094414565531844E-2</v>
      </c>
      <c r="Z43" s="52">
        <f>$G43*'nutrient content'!O40</f>
        <v>5.582108785102762E-4</v>
      </c>
      <c r="AA43" s="52">
        <f>$G43*'nutrient content'!P40</f>
        <v>1.3803874759013137E-6</v>
      </c>
      <c r="AB43" s="52">
        <f>$G43*'nutrient content'!Q40</f>
        <v>6.9562413734862948E-4</v>
      </c>
      <c r="AC43" s="52">
        <f>$G43*'nutrient content'!R40</f>
        <v>0.31362897358566455</v>
      </c>
      <c r="AD43" s="52">
        <f>$G43*'nutrient content'!S40</f>
        <v>1.840621682637659E-3</v>
      </c>
      <c r="AE43" s="52">
        <f>$G43*'nutrient content'!T40</f>
        <v>7.6078281674970938E-2</v>
      </c>
      <c r="AF43" s="52">
        <f>$G43*'nutrient content'!U40</f>
        <v>6.6963209671934106E-4</v>
      </c>
      <c r="AG43" s="52">
        <f>$G43*'nutrient content'!V40</f>
        <v>2.4396409031952251E-3</v>
      </c>
      <c r="AH43" s="52">
        <f>$G43*'nutrient content'!W40</f>
        <v>9.0408691659978958E-4</v>
      </c>
      <c r="AI43" s="52">
        <f>$G43*'nutrient content'!AB40</f>
        <v>0</v>
      </c>
      <c r="AJ43" s="52">
        <f>$G43*'nutrient content'!AC40</f>
        <v>0</v>
      </c>
      <c r="AK43" s="52">
        <f>$G43*'nutrient content'!AD40</f>
        <v>3.6481712156186926E-3</v>
      </c>
      <c r="AL43" s="52">
        <f>$G43*'nutrient content'!AE40</f>
        <v>7.0215709607513472E-7</v>
      </c>
      <c r="AM43" s="52">
        <f>$G43*'nutrient content'!AF40</f>
        <v>0</v>
      </c>
      <c r="AN43" s="52">
        <f>$G43*'nutrient content'!AG40</f>
        <v>0</v>
      </c>
      <c r="AO43" s="52">
        <f>$G43*'nutrient content'!AH40</f>
        <v>4.1240921573682063E-3</v>
      </c>
      <c r="AP43" s="52">
        <f>$G43*'nutrient content'!AI40</f>
        <v>0</v>
      </c>
      <c r="AQ43" s="52">
        <f>$G43*'nutrient content'!AJ40</f>
        <v>0</v>
      </c>
      <c r="AR43" s="52">
        <f>$G43*'nutrient content'!AK40</f>
        <v>0</v>
      </c>
      <c r="AS43" s="52">
        <f>$G43*'nutrient content'!AL40</f>
        <v>0</v>
      </c>
      <c r="AT43" s="52">
        <f>$G43*'nutrient content'!AM40</f>
        <v>0</v>
      </c>
      <c r="AU43" s="52">
        <f>$G43*'nutrient content'!AN40</f>
        <v>0</v>
      </c>
      <c r="AV43" s="52">
        <f>$G43*'nutrient content'!AO40</f>
        <v>0</v>
      </c>
    </row>
    <row r="44" spans="1:48" x14ac:dyDescent="0.2">
      <c r="A44" s="2" t="s">
        <v>583</v>
      </c>
      <c r="B44" s="52">
        <f>TFP!E55</f>
        <v>2.4745957457604557E-2</v>
      </c>
      <c r="C44" s="110">
        <f>HLOOKUP(TFP!$C$14,cost!$C$6:$S$64,cost!$A45,FALSE)</f>
        <v>0.3473376521264549</v>
      </c>
      <c r="D44" s="110">
        <f t="shared" si="0"/>
        <v>7.1244673032439684E-2</v>
      </c>
      <c r="E44" s="52">
        <f t="shared" si="1"/>
        <v>1.5706761772182051E-2</v>
      </c>
      <c r="F44" s="52">
        <f t="shared" si="2"/>
        <v>3.9266904430455126E-3</v>
      </c>
      <c r="G44" s="52">
        <f t="shared" si="3"/>
        <v>2.3435747708039369E-3</v>
      </c>
      <c r="H44" s="52">
        <f t="shared" si="4"/>
        <v>0.2343574770803937</v>
      </c>
      <c r="I44" s="52">
        <f>calculations!G44*'nutrient content'!E41</f>
        <v>8.5486684832267068E-2</v>
      </c>
      <c r="J44" s="52">
        <f>$G44*'nutrient content'!X41</f>
        <v>6.8458218598960252E-3</v>
      </c>
      <c r="K44" s="52">
        <f>$G44*'nutrient content'!Y41</f>
        <v>8.5777210274377527E-2</v>
      </c>
      <c r="L44" s="52">
        <f>$G44*'nutrient content'!Z41</f>
        <v>3.3871946852198857E-3</v>
      </c>
      <c r="M44" s="52">
        <f>$G44*'nutrient content'!AA41</f>
        <v>5.0297251384062616E-4</v>
      </c>
      <c r="N44" s="52">
        <f>$G44*'nutrient content'!B41</f>
        <v>3.6543735111020076E-2</v>
      </c>
      <c r="O44" s="52">
        <f>$G44*'nutrient content'!C41</f>
        <v>0</v>
      </c>
      <c r="P44" s="52">
        <f>$G44*'nutrient content'!D41</f>
        <v>9.3610265751077143E-5</v>
      </c>
      <c r="Q44" s="52">
        <f>$G44*'nutrient content'!F41</f>
        <v>2.7423224647373941E-3</v>
      </c>
      <c r="R44" s="52">
        <f>$G44*'nutrient content'!G41</f>
        <v>3.3911152264805275E-2</v>
      </c>
      <c r="S44" s="52">
        <f>$G44*'nutrient content'!H41</f>
        <v>4.9167367797478393E-4</v>
      </c>
      <c r="T44" s="52">
        <f>$G44*'nutrient content'!I41</f>
        <v>2.3955716013839671E-2</v>
      </c>
      <c r="U44" s="52">
        <f>$G44*'nutrient content'!J41</f>
        <v>7.5959561454642E-4</v>
      </c>
      <c r="V44" s="52">
        <f>$G44*'nutrient content'!K41</f>
        <v>2.9904958771987768E-2</v>
      </c>
      <c r="W44" s="52">
        <f>$G44*'nutrient content'!L41</f>
        <v>0.38088064920701303</v>
      </c>
      <c r="X44" s="52">
        <f>$G44*'nutrient content'!M41</f>
        <v>5.6946266637055866E-5</v>
      </c>
      <c r="Y44" s="52">
        <f>$G44*'nutrient content'!N41</f>
        <v>1.042033660572967E-2</v>
      </c>
      <c r="Z44" s="52">
        <f>$G44*'nutrient content'!O41</f>
        <v>1.0879048376607607E-4</v>
      </c>
      <c r="AA44" s="52">
        <f>$G44*'nutrient content'!P41</f>
        <v>5.5531506921067311E-8</v>
      </c>
      <c r="AB44" s="52">
        <f>$G44*'nutrient content'!Q41</f>
        <v>1.2616342106955663E-4</v>
      </c>
      <c r="AC44" s="52">
        <f>$G44*'nutrient content'!R41</f>
        <v>6.5952338397322771E-2</v>
      </c>
      <c r="AD44" s="52">
        <f>$G44*'nutrient content'!S41</f>
        <v>2.5733534652319748E-4</v>
      </c>
      <c r="AE44" s="52">
        <f>$G44*'nutrient content'!T41</f>
        <v>0.10728476823416799</v>
      </c>
      <c r="AF44" s="52">
        <f>$G44*'nutrient content'!U41</f>
        <v>2.5553484102853731E-4</v>
      </c>
      <c r="AG44" s="52">
        <f>$G44*'nutrient content'!V41</f>
        <v>8.663075733492449E-4</v>
      </c>
      <c r="AH44" s="52">
        <f>$G44*'nutrient content'!W41</f>
        <v>3.7796104181011213E-4</v>
      </c>
      <c r="AI44" s="52">
        <f>$G44*'nutrient content'!AB41</f>
        <v>3.2852439494503411E-7</v>
      </c>
      <c r="AJ44" s="52">
        <f>$G44*'nutrient content'!AC41</f>
        <v>6.068325137466431E-8</v>
      </c>
      <c r="AK44" s="52">
        <f>$G44*'nutrient content'!AD41</f>
        <v>1.4175780843232383E-3</v>
      </c>
      <c r="AL44" s="52">
        <f>$G44*'nutrient content'!AE41</f>
        <v>1.7415302046911644E-7</v>
      </c>
      <c r="AM44" s="52">
        <f>$G44*'nutrient content'!AF41</f>
        <v>0</v>
      </c>
      <c r="AN44" s="52">
        <f>$G44*'nutrient content'!AG41</f>
        <v>4.5820271671029014E-7</v>
      </c>
      <c r="AO44" s="52">
        <f>$G44*'nutrient content'!AH41</f>
        <v>2.3449168434930981E-3</v>
      </c>
      <c r="AP44" s="52">
        <f>$G44*'nutrient content'!AI41</f>
        <v>0</v>
      </c>
      <c r="AQ44" s="52">
        <f>$G44*'nutrient content'!AJ41</f>
        <v>0</v>
      </c>
      <c r="AR44" s="52">
        <f>$G44*'nutrient content'!AK41</f>
        <v>0</v>
      </c>
      <c r="AS44" s="52">
        <f>$G44*'nutrient content'!AL41</f>
        <v>0</v>
      </c>
      <c r="AT44" s="52">
        <f>$G44*'nutrient content'!AM41</f>
        <v>6.068325137466431E-8</v>
      </c>
      <c r="AU44" s="52">
        <f>$G44*'nutrient content'!AN41</f>
        <v>0</v>
      </c>
      <c r="AV44" s="52">
        <f>$G44*'nutrient content'!AO41</f>
        <v>1.4175780843232383E-3</v>
      </c>
    </row>
    <row r="45" spans="1:48" x14ac:dyDescent="0.2">
      <c r="A45" s="3" t="s">
        <v>351</v>
      </c>
      <c r="B45" s="52">
        <f>TFP!E56</f>
        <v>1.7641976146399427</v>
      </c>
      <c r="C45" s="110">
        <f>HLOOKUP(TFP!$C$14,cost!$C$6:$S$64,cost!$A46,FALSE)</f>
        <v>0.19949046800332554</v>
      </c>
      <c r="D45" s="110">
        <f t="shared" si="0"/>
        <v>8.8435183510148132</v>
      </c>
      <c r="E45" s="52">
        <f t="shared" si="1"/>
        <v>1.9496620597032357</v>
      </c>
      <c r="F45" s="52">
        <f t="shared" si="2"/>
        <v>0.48741551492580892</v>
      </c>
      <c r="G45" s="52">
        <f t="shared" si="3"/>
        <v>0.29090520891496097</v>
      </c>
      <c r="H45" s="52">
        <f t="shared" si="4"/>
        <v>29.090520891496098</v>
      </c>
      <c r="I45" s="52">
        <f>calculations!G45*'nutrient content'!E42</f>
        <v>14.827276448585454</v>
      </c>
      <c r="J45" s="52">
        <f>$G45*'nutrient content'!X42</f>
        <v>0.30569056709342507</v>
      </c>
      <c r="K45" s="52">
        <f>$G45*'nutrient content'!Y42</f>
        <v>14.680203999253974</v>
      </c>
      <c r="L45" s="52">
        <f>$G45*'nutrient content'!Z42</f>
        <v>0.27152476782413421</v>
      </c>
      <c r="M45" s="52">
        <f>$G45*'nutrient content'!AA42</f>
        <v>5.5785142738173636E-2</v>
      </c>
      <c r="N45" s="52">
        <f>$G45*'nutrient content'!B42</f>
        <v>2.6799840137172306</v>
      </c>
      <c r="O45" s="52">
        <f>$G45*'nutrient content'!C42</f>
        <v>0</v>
      </c>
      <c r="P45" s="52">
        <f>$G45*'nutrient content'!D42</f>
        <v>9.5402493499050518E-3</v>
      </c>
      <c r="Q45" s="52">
        <f>$G45*'nutrient content'!F42</f>
        <v>5.4127588922495196E-2</v>
      </c>
      <c r="R45" s="52">
        <f>$G45*'nutrient content'!G42</f>
        <v>1.2849697482519045</v>
      </c>
      <c r="S45" s="52">
        <f>$G45*'nutrient content'!H42</f>
        <v>9.3284567082949008E-2</v>
      </c>
      <c r="T45" s="52">
        <f>$G45*'nutrient content'!I42</f>
        <v>1.7594259776857875</v>
      </c>
      <c r="U45" s="52">
        <f>$G45*'nutrient content'!J42</f>
        <v>5.3405309438326672E-2</v>
      </c>
      <c r="V45" s="52">
        <f>$G45*'nutrient content'!K42</f>
        <v>2.5880054403484971</v>
      </c>
      <c r="W45" s="52">
        <f>$G45*'nutrient content'!L42</f>
        <v>36.382609115923167</v>
      </c>
      <c r="X45" s="52">
        <f>$G45*'nutrient content'!M42</f>
        <v>7.305467391366365E-3</v>
      </c>
      <c r="Y45" s="52">
        <f>$G45*'nutrient content'!N42</f>
        <v>0.81490513214160776</v>
      </c>
      <c r="Z45" s="52">
        <f>$G45*'nutrient content'!O42</f>
        <v>8.0695455133744706E-3</v>
      </c>
      <c r="AA45" s="52">
        <f>$G45*'nutrient content'!P42</f>
        <v>0</v>
      </c>
      <c r="AB45" s="52">
        <f>$G45*'nutrient content'!Q42</f>
        <v>1.4175179437272133E-2</v>
      </c>
      <c r="AC45" s="52">
        <f>$G45*'nutrient content'!R42</f>
        <v>3.6905593258753808</v>
      </c>
      <c r="AD45" s="52">
        <f>$G45*'nutrient content'!S42</f>
        <v>1.9849809837633466E-2</v>
      </c>
      <c r="AE45" s="52">
        <f>$G45*'nutrient content'!T42</f>
        <v>0.41631776445067581</v>
      </c>
      <c r="AF45" s="52">
        <f>$G45*'nutrient content'!U42</f>
        <v>1.4076295380138163E-2</v>
      </c>
      <c r="AG45" s="52">
        <f>$G45*'nutrient content'!V42</f>
        <v>7.073547267477881E-2</v>
      </c>
      <c r="AH45" s="52">
        <f>$G45*'nutrient content'!W42</f>
        <v>2.6303215696159437E-2</v>
      </c>
      <c r="AI45" s="52">
        <f>$G45*'nutrient content'!AB42</f>
        <v>0</v>
      </c>
      <c r="AJ45" s="52">
        <f>$G45*'nutrient content'!AC42</f>
        <v>3.0171538850869784E-5</v>
      </c>
      <c r="AK45" s="52">
        <f>$G45*'nutrient content'!AD42</f>
        <v>0.1161218500443448</v>
      </c>
      <c r="AL45" s="52">
        <f>$G45*'nutrient content'!AE42</f>
        <v>0</v>
      </c>
      <c r="AM45" s="52">
        <f>$G45*'nutrient content'!AF42</f>
        <v>0</v>
      </c>
      <c r="AN45" s="52">
        <f>$G45*'nutrient content'!AG42</f>
        <v>2.2881473567431577E-5</v>
      </c>
      <c r="AO45" s="52">
        <f>$G45*'nutrient content'!AH42</f>
        <v>0.5751620924333829</v>
      </c>
      <c r="AP45" s="52">
        <f>$G45*'nutrient content'!AI42</f>
        <v>0</v>
      </c>
      <c r="AQ45" s="52">
        <f>$G45*'nutrient content'!AJ42</f>
        <v>0</v>
      </c>
      <c r="AR45" s="52">
        <f>$G45*'nutrient content'!AK42</f>
        <v>3.0171538850869784E-5</v>
      </c>
      <c r="AS45" s="52">
        <f>$G45*'nutrient content'!AL42</f>
        <v>0</v>
      </c>
      <c r="AT45" s="52">
        <f>$G45*'nutrient content'!AM42</f>
        <v>0</v>
      </c>
      <c r="AU45" s="52">
        <f>$G45*'nutrient content'!AN42</f>
        <v>0</v>
      </c>
      <c r="AV45" s="52">
        <f>$G45*'nutrient content'!AO42</f>
        <v>0</v>
      </c>
    </row>
    <row r="46" spans="1:48" x14ac:dyDescent="0.2">
      <c r="A46" s="2" t="s">
        <v>584</v>
      </c>
      <c r="B46" s="52">
        <f>TFP!E57</f>
        <v>27.222906582889269</v>
      </c>
      <c r="C46" s="110">
        <f>HLOOKUP(TFP!$C$14,cost!$C$6:$S$64,cost!$A47,FALSE)</f>
        <v>0.33118334626218804</v>
      </c>
      <c r="D46" s="110">
        <f t="shared" si="0"/>
        <v>82.198899461984723</v>
      </c>
      <c r="E46" s="52">
        <f t="shared" si="1"/>
        <v>18.121755309299733</v>
      </c>
      <c r="F46" s="52">
        <f t="shared" si="2"/>
        <v>4.5304388273249332</v>
      </c>
      <c r="G46" s="52">
        <f t="shared" si="3"/>
        <v>2.7039111665126554</v>
      </c>
      <c r="H46" s="52">
        <f t="shared" si="4"/>
        <v>270.39111665126552</v>
      </c>
      <c r="I46" s="52">
        <f>calculations!G46*'nutrient content'!E43</f>
        <v>205.33407043876548</v>
      </c>
      <c r="J46" s="52">
        <f>$G46*'nutrient content'!X43</f>
        <v>8.140679906678308</v>
      </c>
      <c r="K46" s="52">
        <f>$G46*'nutrient content'!Y43</f>
        <v>199.74730875715136</v>
      </c>
      <c r="L46" s="52">
        <f>$G46*'nutrient content'!Z43</f>
        <v>19.14332557119295</v>
      </c>
      <c r="M46" s="52">
        <f>$G46*'nutrient content'!AA43</f>
        <v>3.5590037623399207</v>
      </c>
      <c r="N46" s="52">
        <f>$G46*'nutrient content'!B43</f>
        <v>21.974309487315288</v>
      </c>
      <c r="O46" s="52">
        <f>$G46*'nutrient content'!C43</f>
        <v>5.3295266498636376E-2</v>
      </c>
      <c r="P46" s="52">
        <f>$G46*'nutrient content'!D43</f>
        <v>0.21137642951115909</v>
      </c>
      <c r="Q46" s="52">
        <f>$G46*'nutrient content'!F43</f>
        <v>6.3273848480933879</v>
      </c>
      <c r="R46" s="52">
        <f>$G46*'nutrient content'!G43</f>
        <v>28.817957177635126</v>
      </c>
      <c r="S46" s="52">
        <f>$G46*'nutrient content'!H43</f>
        <v>0.73507501202341341</v>
      </c>
      <c r="T46" s="52">
        <f>$G46*'nutrient content'!I43</f>
        <v>37.418146100394786</v>
      </c>
      <c r="U46" s="52">
        <f>$G46*'nutrient content'!J43</f>
        <v>1.216893258384157</v>
      </c>
      <c r="V46" s="52">
        <f>$G46*'nutrient content'!K43</f>
        <v>51.313496759963023</v>
      </c>
      <c r="W46" s="52">
        <f>$G46*'nutrient content'!L43</f>
        <v>602.58480122318122</v>
      </c>
      <c r="X46" s="52">
        <f>$G46*'nutrient content'!M43</f>
        <v>0.13829753338430423</v>
      </c>
      <c r="Y46" s="52">
        <f>$G46*'nutrient content'!N43</f>
        <v>6.7168619152386526</v>
      </c>
      <c r="Z46" s="52">
        <f>$G46*'nutrient content'!O43</f>
        <v>8.7837999532353883E-2</v>
      </c>
      <c r="AA46" s="52">
        <f>$G46*'nutrient content'!P43</f>
        <v>2.4678513407325729E-4</v>
      </c>
      <c r="AB46" s="52">
        <f>$G46*'nutrient content'!Q43</f>
        <v>0.40777911097598796</v>
      </c>
      <c r="AC46" s="52">
        <f>$G46*'nutrient content'!R43</f>
        <v>22.507834338600208</v>
      </c>
      <c r="AD46" s="52">
        <f>$G46*'nutrient content'!S43</f>
        <v>0.85054211710956074</v>
      </c>
      <c r="AE46" s="52">
        <f>$G46*'nutrient content'!T43</f>
        <v>18.481472863116547</v>
      </c>
      <c r="AF46" s="52">
        <f>$G46*'nutrient content'!U43</f>
        <v>0.32817450153163602</v>
      </c>
      <c r="AG46" s="52">
        <f>$G46*'nutrient content'!V43</f>
        <v>2.7640722548575711</v>
      </c>
      <c r="AH46" s="52">
        <f>$G46*'nutrient content'!W43</f>
        <v>0.48859697108171174</v>
      </c>
      <c r="AI46" s="52">
        <f>$G46*'nutrient content'!AB43</f>
        <v>9.2900130417563774E-4</v>
      </c>
      <c r="AJ46" s="52">
        <f>$G46*'nutrient content'!AC43</f>
        <v>4.1242080316407066E-4</v>
      </c>
      <c r="AK46" s="52">
        <f>$G46*'nutrient content'!AD43</f>
        <v>1.9468073315253747</v>
      </c>
      <c r="AL46" s="52">
        <f>$G46*'nutrient content'!AE43</f>
        <v>1.6567344428918436E-3</v>
      </c>
      <c r="AM46" s="52">
        <f>$G46*'nutrient content'!AF43</f>
        <v>2.1501074402352585E-3</v>
      </c>
      <c r="AN46" s="52">
        <f>$G46*'nutrient content'!AG43</f>
        <v>6.9938848703260406E-2</v>
      </c>
      <c r="AO46" s="52">
        <f>$G46*'nutrient content'!AH43</f>
        <v>12.987411255975973</v>
      </c>
      <c r="AP46" s="52">
        <f>$G46*'nutrient content'!AI43</f>
        <v>0</v>
      </c>
      <c r="AQ46" s="52">
        <f>$G46*'nutrient content'!AJ43</f>
        <v>6.7458985947807457E-6</v>
      </c>
      <c r="AR46" s="52">
        <f>$G46*'nutrient content'!AK43</f>
        <v>0</v>
      </c>
      <c r="AS46" s="52">
        <f>$G46*'nutrient content'!AL43</f>
        <v>0</v>
      </c>
      <c r="AT46" s="52">
        <f>$G46*'nutrient content'!AM43</f>
        <v>8.2109957633923029E-5</v>
      </c>
      <c r="AU46" s="52">
        <f>$G46*'nutrient content'!AN43</f>
        <v>3.2417821044398331E-4</v>
      </c>
      <c r="AV46" s="52">
        <f>$G46*'nutrient content'!AO43</f>
        <v>1.9468073315253747</v>
      </c>
    </row>
    <row r="47" spans="1:48" x14ac:dyDescent="0.2">
      <c r="A47" s="2" t="s">
        <v>230</v>
      </c>
      <c r="B47" s="52">
        <f>TFP!E58</f>
        <v>2.7657892703347599E-2</v>
      </c>
      <c r="C47" s="110">
        <f>HLOOKUP(TFP!$C$14,cost!$C$6:$S$64,cost!$A48,FALSE)</f>
        <v>0.38701867529800915</v>
      </c>
      <c r="D47" s="110">
        <f t="shared" si="0"/>
        <v>7.1463974398782382E-2</v>
      </c>
      <c r="E47" s="52">
        <f t="shared" si="1"/>
        <v>1.5755109447465655E-2</v>
      </c>
      <c r="F47" s="52">
        <f t="shared" si="2"/>
        <v>3.9387773618664136E-3</v>
      </c>
      <c r="G47" s="52">
        <f t="shared" si="3"/>
        <v>2.3507886315388945E-3</v>
      </c>
      <c r="H47" s="52">
        <f t="shared" si="4"/>
        <v>0.23507886315388946</v>
      </c>
      <c r="I47" s="52">
        <f>calculations!G47*'nutrient content'!E44</f>
        <v>0.71731700277561405</v>
      </c>
      <c r="J47" s="52">
        <f>$G47*'nutrient content'!X44</f>
        <v>3.7741273312258461E-2</v>
      </c>
      <c r="K47" s="52">
        <f>$G47*'nutrient content'!Y44</f>
        <v>0.33458527659278847</v>
      </c>
      <c r="L47" s="52">
        <f>$G47*'nutrient content'!Z44</f>
        <v>0.35500106351324956</v>
      </c>
      <c r="M47" s="52">
        <f>$G47*'nutrient content'!AA44</f>
        <v>8.5045829654080168E-2</v>
      </c>
      <c r="N47" s="52">
        <f>$G47*'nutrient content'!B44</f>
        <v>4.001684183128263E-2</v>
      </c>
      <c r="O47" s="52">
        <f>$G47*'nutrient content'!C44</f>
        <v>7.502225077701364E-3</v>
      </c>
      <c r="P47" s="52">
        <f>$G47*'nutrient content'!D44</f>
        <v>4.5162468855635719E-4</v>
      </c>
      <c r="Q47" s="52">
        <f>$G47*'nutrient content'!F44</f>
        <v>7.4144198748403436E-3</v>
      </c>
      <c r="R47" s="52">
        <f>$G47*'nutrient content'!G44</f>
        <v>3.513174195102424E-2</v>
      </c>
      <c r="S47" s="52">
        <f>$G47*'nutrient content'!H44</f>
        <v>2.1412067920900321E-3</v>
      </c>
      <c r="T47" s="52">
        <f>$G47*'nutrient content'!I44</f>
        <v>8.6774107810019957E-2</v>
      </c>
      <c r="U47" s="52">
        <f>$G47*'nutrient content'!J44</f>
        <v>5.8955939733994619E-3</v>
      </c>
      <c r="V47" s="52">
        <f>$G47*'nutrient content'!K44</f>
        <v>0.25212937252363499</v>
      </c>
      <c r="W47" s="52">
        <f>$G47*'nutrient content'!L44</f>
        <v>1.5586956955318385</v>
      </c>
      <c r="X47" s="52">
        <f>$G47*'nutrient content'!M44</f>
        <v>1.4989882332584466E-4</v>
      </c>
      <c r="Y47" s="52">
        <f>$G47*'nutrient content'!N44</f>
        <v>0.49212557831928871</v>
      </c>
      <c r="Z47" s="52">
        <f>$G47*'nutrient content'!O44</f>
        <v>2.627514055961736E-4</v>
      </c>
      <c r="AA47" s="52">
        <f>$G47*'nutrient content'!P44</f>
        <v>2.4223852797557298E-5</v>
      </c>
      <c r="AB47" s="52">
        <f>$G47*'nutrient content'!Q44</f>
        <v>8.961697356341913E-4</v>
      </c>
      <c r="AC47" s="52">
        <f>$G47*'nutrient content'!R44</f>
        <v>3.360663266663011E-2</v>
      </c>
      <c r="AD47" s="52">
        <f>$G47*'nutrient content'!S44</f>
        <v>5.1094676433912746E-3</v>
      </c>
      <c r="AE47" s="52">
        <f>$G47*'nutrient content'!T44</f>
        <v>6.1672627575710941E-3</v>
      </c>
      <c r="AF47" s="52">
        <f>$G47*'nutrient content'!U44</f>
        <v>1.2163273137166945E-3</v>
      </c>
      <c r="AG47" s="52">
        <f>$G47*'nutrient content'!V44</f>
        <v>8.6870727835577546E-2</v>
      </c>
      <c r="AH47" s="52">
        <f>$G47*'nutrient content'!W44</f>
        <v>5.0127227918193556E-3</v>
      </c>
      <c r="AI47" s="52">
        <f>$G47*'nutrient content'!AB44</f>
        <v>1.9787258566300761E-5</v>
      </c>
      <c r="AJ47" s="52">
        <f>$G47*'nutrient content'!AC44</f>
        <v>1.860418515487381E-3</v>
      </c>
      <c r="AK47" s="52">
        <f>$G47*'nutrient content'!AD44</f>
        <v>0</v>
      </c>
      <c r="AL47" s="52">
        <f>$G47*'nutrient content'!AE44</f>
        <v>1.0991678017559462E-5</v>
      </c>
      <c r="AM47" s="52">
        <f>$G47*'nutrient content'!AF44</f>
        <v>3.4624021414431337E-5</v>
      </c>
      <c r="AN47" s="52">
        <f>$G47*'nutrient content'!AG44</f>
        <v>1.661569324586111E-2</v>
      </c>
      <c r="AO47" s="52">
        <f>$G47*'nutrient content'!AH44</f>
        <v>0.17656655440913613</v>
      </c>
      <c r="AP47" s="52">
        <f>$G47*'nutrient content'!AI44</f>
        <v>4.7755902680655878E-6</v>
      </c>
      <c r="AQ47" s="52">
        <f>$G47*'nutrient content'!AJ44</f>
        <v>0</v>
      </c>
      <c r="AR47" s="52">
        <f>$G47*'nutrient content'!AK44</f>
        <v>0</v>
      </c>
      <c r="AS47" s="52">
        <f>$G47*'nutrient content'!AL44</f>
        <v>0</v>
      </c>
      <c r="AT47" s="52">
        <f>$G47*'nutrient content'!AM44</f>
        <v>1.8159063035703932E-3</v>
      </c>
      <c r="AU47" s="52">
        <f>$G47*'nutrient content'!AN44</f>
        <v>4.4105363086397901E-5</v>
      </c>
      <c r="AV47" s="52">
        <f>$G47*'nutrient content'!AO44</f>
        <v>0</v>
      </c>
    </row>
    <row r="48" spans="1:48" x14ac:dyDescent="0.2">
      <c r="A48" s="3" t="s">
        <v>352</v>
      </c>
      <c r="B48" s="52">
        <f>TFP!E59</f>
        <v>5.3541933127256183</v>
      </c>
      <c r="C48" s="110">
        <f>HLOOKUP(TFP!$C$14,cost!$C$6:$S$64,cost!$A49,FALSE)</f>
        <v>0.14485149222730379</v>
      </c>
      <c r="D48" s="110">
        <f t="shared" si="0"/>
        <v>36.963328650585893</v>
      </c>
      <c r="E48" s="52">
        <f t="shared" si="1"/>
        <v>8.1490190453575728</v>
      </c>
      <c r="F48" s="52">
        <f t="shared" si="2"/>
        <v>2.0372547613393932</v>
      </c>
      <c r="G48" s="52">
        <f t="shared" si="3"/>
        <v>1.2158989687692729</v>
      </c>
      <c r="H48" s="52">
        <f t="shared" si="4"/>
        <v>121.5898968769273</v>
      </c>
      <c r="I48" s="52">
        <f>calculations!G48*'nutrient content'!E45</f>
        <v>119.92313484001342</v>
      </c>
      <c r="J48" s="52">
        <f>$G48*'nutrient content'!X45</f>
        <v>10.548973422598111</v>
      </c>
      <c r="K48" s="52">
        <f>$G48*'nutrient content'!Y45</f>
        <v>83.913215016805708</v>
      </c>
      <c r="L48" s="52">
        <f>$G48*'nutrient content'!Z45</f>
        <v>27.806621396613483</v>
      </c>
      <c r="M48" s="52">
        <f>$G48*'nutrient content'!AA45</f>
        <v>9.8365899715352914</v>
      </c>
      <c r="N48" s="52">
        <f>$G48*'nutrient content'!B45</f>
        <v>28.874250780320253</v>
      </c>
      <c r="O48" s="52">
        <f>$G48*'nutrient content'!C45</f>
        <v>3.6456106310026866</v>
      </c>
      <c r="P48" s="52">
        <f>$G48*'nutrient content'!D45</f>
        <v>0.15741483961393066</v>
      </c>
      <c r="Q48" s="52">
        <f>$G48*'nutrient content'!F45</f>
        <v>1.88989316647929</v>
      </c>
      <c r="R48" s="52">
        <f>$G48*'nutrient content'!G45</f>
        <v>12.786493040467793</v>
      </c>
      <c r="S48" s="52">
        <f>$G48*'nutrient content'!H45</f>
        <v>0.49083169617135269</v>
      </c>
      <c r="T48" s="52">
        <f>$G48*'nutrient content'!I45</f>
        <v>23.545418987325945</v>
      </c>
      <c r="U48" s="52">
        <f>$G48*'nutrient content'!J45</f>
        <v>1.3741887499272003</v>
      </c>
      <c r="V48" s="52">
        <f>$G48*'nutrient content'!K45</f>
        <v>63.576981666825077</v>
      </c>
      <c r="W48" s="52">
        <f>$G48*'nutrient content'!L45</f>
        <v>393.29949157494752</v>
      </c>
      <c r="X48" s="52">
        <f>$G48*'nutrient content'!M45</f>
        <v>5.319788014688151E-2</v>
      </c>
      <c r="Y48" s="52">
        <f>$G48*'nutrient content'!N45</f>
        <v>89.663116481302353</v>
      </c>
      <c r="Z48" s="52">
        <f>$G48*'nutrient content'!O45</f>
        <v>0.11448774223135132</v>
      </c>
      <c r="AA48" s="52">
        <f>$G48*'nutrient content'!P45</f>
        <v>5.6967348642422415E-2</v>
      </c>
      <c r="AB48" s="52">
        <f>$G48*'nutrient content'!Q45</f>
        <v>0.28202282384147503</v>
      </c>
      <c r="AC48" s="52">
        <f>$G48*'nutrient content'!R45</f>
        <v>10.66091407149217</v>
      </c>
      <c r="AD48" s="52">
        <f>$G48*'nutrient content'!S45</f>
        <v>0.19506766479626514</v>
      </c>
      <c r="AE48" s="52">
        <f>$G48*'nutrient content'!T45</f>
        <v>29.202696139931298</v>
      </c>
      <c r="AF48" s="52">
        <f>$G48*'nutrient content'!U45</f>
        <v>0.37207190031063941</v>
      </c>
      <c r="AG48" s="52">
        <f>$G48*'nutrient content'!V45</f>
        <v>5.4245834134276691</v>
      </c>
      <c r="AH48" s="52">
        <f>$G48*'nutrient content'!W45</f>
        <v>0.64620165003136232</v>
      </c>
      <c r="AI48" s="52">
        <f>$G48*'nutrient content'!AB45</f>
        <v>8.9244500956548335E-3</v>
      </c>
      <c r="AJ48" s="52">
        <f>$G48*'nutrient content'!AC45</f>
        <v>0.71984472735255223</v>
      </c>
      <c r="AK48" s="52">
        <f>$G48*'nutrient content'!AD45</f>
        <v>0</v>
      </c>
      <c r="AL48" s="52">
        <f>$G48*'nutrient content'!AE45</f>
        <v>6.3780056385634901E-2</v>
      </c>
      <c r="AM48" s="52">
        <f>$G48*'nutrient content'!AF45</f>
        <v>1.6491336626176509E-2</v>
      </c>
      <c r="AN48" s="52">
        <f>$G48*'nutrient content'!AG45</f>
        <v>7.1001276301430299E-2</v>
      </c>
      <c r="AO48" s="52">
        <f>$G48*'nutrient content'!AH45</f>
        <v>21.844249791287417</v>
      </c>
      <c r="AP48" s="52">
        <f>$G48*'nutrient content'!AI45</f>
        <v>0</v>
      </c>
      <c r="AQ48" s="52">
        <f>$G48*'nutrient content'!AJ45</f>
        <v>2.5699239510117711E-5</v>
      </c>
      <c r="AR48" s="52">
        <f>$G48*'nutrient content'!AK45</f>
        <v>0</v>
      </c>
      <c r="AS48" s="52">
        <f>$G48*'nutrient content'!AL45</f>
        <v>0</v>
      </c>
      <c r="AT48" s="52">
        <f>$G48*'nutrient content'!AM45</f>
        <v>0.71626410846293742</v>
      </c>
      <c r="AU48" s="52">
        <f>$G48*'nutrient content'!AN45</f>
        <v>3.5261312801346022E-3</v>
      </c>
      <c r="AV48" s="52">
        <f>$G48*'nutrient content'!AO45</f>
        <v>0</v>
      </c>
    </row>
    <row r="49" spans="1:48" x14ac:dyDescent="0.2">
      <c r="A49" s="2" t="s">
        <v>176</v>
      </c>
      <c r="B49" s="52">
        <f>TFP!E60</f>
        <v>4.2634232220793695</v>
      </c>
      <c r="C49" s="110">
        <f>HLOOKUP(TFP!$C$14,cost!$C$6:$S$64,cost!$A50,FALSE)</f>
        <v>0.57347967385939547</v>
      </c>
      <c r="D49" s="110">
        <f t="shared" si="0"/>
        <v>7.4343057241897412</v>
      </c>
      <c r="E49" s="52">
        <f t="shared" si="1"/>
        <v>1.6389838563544183</v>
      </c>
      <c r="F49" s="52">
        <f t="shared" si="2"/>
        <v>0.40974596408860459</v>
      </c>
      <c r="G49" s="52">
        <f t="shared" si="3"/>
        <v>0.24454953040097835</v>
      </c>
      <c r="H49" s="52">
        <f t="shared" si="4"/>
        <v>24.454953040097834</v>
      </c>
      <c r="I49" s="52">
        <f>calculations!G49*'nutrient content'!E46</f>
        <v>11.341330504571964</v>
      </c>
      <c r="J49" s="52">
        <f>$G49*'nutrient content'!X46</f>
        <v>2.3169688358779905</v>
      </c>
      <c r="K49" s="52">
        <f>$G49*'nutrient content'!Y46</f>
        <v>4.9175409502612046</v>
      </c>
      <c r="L49" s="52">
        <f>$G49*'nutrient content'!Z46</f>
        <v>5.4548823907329869</v>
      </c>
      <c r="M49" s="52">
        <f>$G49*'nutrient content'!AA46</f>
        <v>1.5766514441791823</v>
      </c>
      <c r="N49" s="52">
        <f>$G49*'nutrient content'!B46</f>
        <v>26.619604746248623</v>
      </c>
      <c r="O49" s="52">
        <f>$G49*'nutrient content'!C46</f>
        <v>0.45377132128295872</v>
      </c>
      <c r="P49" s="52">
        <f>$G49*'nutrient content'!D46</f>
        <v>2.9051474270072739E-2</v>
      </c>
      <c r="Q49" s="52">
        <f>$G49*'nutrient content'!F46</f>
        <v>0.70506050350919036</v>
      </c>
      <c r="R49" s="52">
        <f>$G49*'nutrient content'!G46</f>
        <v>21.247443104653271</v>
      </c>
      <c r="S49" s="52">
        <f>$G49*'nutrient content'!H46</f>
        <v>0.25834969558376897</v>
      </c>
      <c r="T49" s="52">
        <f>$G49*'nutrient content'!I46</f>
        <v>5.9413071712778009</v>
      </c>
      <c r="U49" s="52">
        <f>$G49*'nutrient content'!J46</f>
        <v>0.12942213815961542</v>
      </c>
      <c r="V49" s="52">
        <f>$G49*'nutrient content'!K46</f>
        <v>10.571462271072614</v>
      </c>
      <c r="W49" s="52">
        <f>$G49*'nutrient content'!L46</f>
        <v>52.531521509434441</v>
      </c>
      <c r="X49" s="52">
        <f>$G49*'nutrient content'!M46</f>
        <v>2.3430732017922114E-2</v>
      </c>
      <c r="Y49" s="52">
        <f>$G49*'nutrient content'!N46</f>
        <v>13.271909885248931</v>
      </c>
      <c r="Z49" s="52">
        <f>$G49*'nutrient content'!O46</f>
        <v>1.2571217401799201E-2</v>
      </c>
      <c r="AA49" s="52">
        <f>$G49*'nutrient content'!P46</f>
        <v>2.9518723196817489E-3</v>
      </c>
      <c r="AB49" s="52">
        <f>$G49*'nutrient content'!Q46</f>
        <v>3.5729384466667756E-2</v>
      </c>
      <c r="AC49" s="52">
        <f>$G49*'nutrient content'!R46</f>
        <v>7.2140907856984171</v>
      </c>
      <c r="AD49" s="52">
        <f>$G49*'nutrient content'!S46</f>
        <v>0.38838066772023355</v>
      </c>
      <c r="AE49" s="52">
        <f>$G49*'nutrient content'!T46</f>
        <v>80.889807352781787</v>
      </c>
      <c r="AF49" s="52">
        <f>$G49*'nutrient content'!U46</f>
        <v>7.4193551213586992E-2</v>
      </c>
      <c r="AG49" s="52">
        <f>$G49*'nutrient content'!V46</f>
        <v>0.92783025420376908</v>
      </c>
      <c r="AH49" s="52">
        <f>$G49*'nutrient content'!W46</f>
        <v>0.26640256091261194</v>
      </c>
      <c r="AI49" s="52">
        <f>$G49*'nutrient content'!AB46</f>
        <v>3.1114380777116837E-3</v>
      </c>
      <c r="AJ49" s="52">
        <f>$G49*'nutrient content'!AC46</f>
        <v>0.15094107864961853</v>
      </c>
      <c r="AK49" s="52">
        <f>$G49*'nutrient content'!AD46</f>
        <v>0</v>
      </c>
      <c r="AL49" s="52">
        <f>$G49*'nutrient content'!AE46</f>
        <v>3.2199317726272817E-3</v>
      </c>
      <c r="AM49" s="52">
        <f>$G49*'nutrient content'!AF46</f>
        <v>0</v>
      </c>
      <c r="AN49" s="52">
        <f>$G49*'nutrient content'!AG46</f>
        <v>0</v>
      </c>
      <c r="AO49" s="52">
        <f>$G49*'nutrient content'!AH46</f>
        <v>4.4207068445288487</v>
      </c>
      <c r="AP49" s="52">
        <f>$G49*'nutrient content'!AI46</f>
        <v>0</v>
      </c>
      <c r="AQ49" s="52">
        <f>$G49*'nutrient content'!AJ46</f>
        <v>0.15066989442349205</v>
      </c>
      <c r="AR49" s="52">
        <f>$G49*'nutrient content'!AK46</f>
        <v>0</v>
      </c>
      <c r="AS49" s="52">
        <f>$G49*'nutrient content'!AL46</f>
        <v>0</v>
      </c>
      <c r="AT49" s="52">
        <f>$G49*'nutrient content'!AM46</f>
        <v>0</v>
      </c>
      <c r="AU49" s="52">
        <f>$G49*'nutrient content'!AN46</f>
        <v>2.7118422612650554E-4</v>
      </c>
      <c r="AV49" s="52">
        <f>$G49*'nutrient content'!AO46</f>
        <v>0</v>
      </c>
    </row>
    <row r="50" spans="1:48" x14ac:dyDescent="0.2">
      <c r="A50" s="2" t="s">
        <v>448</v>
      </c>
      <c r="B50" s="52">
        <f>TFP!E61</f>
        <v>2.0262831871752576E-4</v>
      </c>
      <c r="C50" s="110">
        <f>HLOOKUP(TFP!$C$14,cost!$C$6:$S$64,cost!$A51,FALSE)</f>
        <v>0.24824987940437543</v>
      </c>
      <c r="D50" s="110">
        <f t="shared" si="0"/>
        <v>8.162272594197861E-4</v>
      </c>
      <c r="E50" s="52">
        <f t="shared" si="1"/>
        <v>1.7994730791774685E-4</v>
      </c>
      <c r="F50" s="52">
        <f t="shared" si="2"/>
        <v>4.4986826979436711E-5</v>
      </c>
      <c r="G50" s="52">
        <f t="shared" si="3"/>
        <v>2.6849580901966649E-5</v>
      </c>
      <c r="H50" s="52">
        <f t="shared" si="4"/>
        <v>2.6849580901966647E-3</v>
      </c>
      <c r="I50" s="52">
        <f>calculations!G50*'nutrient content'!E47</f>
        <v>2.5281533367175857E-3</v>
      </c>
      <c r="J50" s="52">
        <f>$G50*'nutrient content'!X47</f>
        <v>1.035706491642627E-4</v>
      </c>
      <c r="K50" s="52">
        <f>$G50*'nutrient content'!Y47</f>
        <v>1.6710047370147433E-3</v>
      </c>
      <c r="L50" s="52">
        <f>$G50*'nutrient content'!Z47</f>
        <v>8.2969828746423777E-4</v>
      </c>
      <c r="M50" s="52">
        <f>$G50*'nutrient content'!AA47</f>
        <v>2.1929262180478437E-4</v>
      </c>
      <c r="N50" s="52">
        <f>$G50*'nutrient content'!B47</f>
        <v>7.6837479957454584E-4</v>
      </c>
      <c r="O50" s="52">
        <f>$G50*'nutrient content'!C47</f>
        <v>5.9683661911578219E-5</v>
      </c>
      <c r="P50" s="52">
        <f>$G50*'nutrient content'!D47</f>
        <v>1.8290383881762088E-6</v>
      </c>
      <c r="Q50" s="52">
        <f>$G50*'nutrient content'!F47</f>
        <v>7.1203667474526011E-5</v>
      </c>
      <c r="R50" s="52">
        <f>$G50*'nutrient content'!G47</f>
        <v>2.8511567159505974E-4</v>
      </c>
      <c r="S50" s="52">
        <f>$G50*'nutrient content'!H47</f>
        <v>1.5393526538484613E-5</v>
      </c>
      <c r="T50" s="52">
        <f>$G50*'nutrient content'!I47</f>
        <v>3.3889318087969972E-4</v>
      </c>
      <c r="U50" s="52">
        <f>$G50*'nutrient content'!J47</f>
        <v>1.5737578638375518E-5</v>
      </c>
      <c r="V50" s="52">
        <f>$G50*'nutrient content'!K47</f>
        <v>8.3815731739973493E-4</v>
      </c>
      <c r="W50" s="52">
        <f>$G50*'nutrient content'!L47</f>
        <v>6.3607591085870011E-3</v>
      </c>
      <c r="X50" s="52">
        <f>$G50*'nutrient content'!M47</f>
        <v>1.3166716833142483E-6</v>
      </c>
      <c r="Y50" s="52">
        <f>$G50*'nutrient content'!N47</f>
        <v>2.0152166757351096E-3</v>
      </c>
      <c r="Z50" s="52">
        <f>$G50*'nutrient content'!O47</f>
        <v>1.3938160484955995E-6</v>
      </c>
      <c r="AA50" s="52">
        <f>$G50*'nutrient content'!P47</f>
        <v>3.0416791032079937E-7</v>
      </c>
      <c r="AB50" s="52">
        <f>$G50*'nutrient content'!Q47</f>
        <v>3.3573464516627076E-6</v>
      </c>
      <c r="AC50" s="52">
        <f>$G50*'nutrient content'!R47</f>
        <v>1.7855270255908462E-4</v>
      </c>
      <c r="AD50" s="52">
        <f>$G50*'nutrient content'!S47</f>
        <v>3.0165138186714184E-5</v>
      </c>
      <c r="AE50" s="52">
        <f>$G50*'nutrient content'!T47</f>
        <v>1.7620080287839106E-2</v>
      </c>
      <c r="AF50" s="52">
        <f>$G50*'nutrient content'!U47</f>
        <v>5.5871972512840931E-6</v>
      </c>
      <c r="AG50" s="52">
        <f>$G50*'nutrient content'!V47</f>
        <v>2.475418501004386E-4</v>
      </c>
      <c r="AH50" s="52">
        <f>$G50*'nutrient content'!W47</f>
        <v>2.7879629536375282E-5</v>
      </c>
      <c r="AI50" s="52">
        <f>$G50*'nutrient content'!AB47</f>
        <v>0</v>
      </c>
      <c r="AJ50" s="52">
        <f>$G50*'nutrient content'!AC47</f>
        <v>1.5087978513978801E-5</v>
      </c>
      <c r="AK50" s="52">
        <f>$G50*'nutrient content'!AD47</f>
        <v>4.1017511297842855E-7</v>
      </c>
      <c r="AL50" s="52">
        <f>$G50*'nutrient content'!AE47</f>
        <v>1.6213864021175264E-7</v>
      </c>
      <c r="AM50" s="52">
        <f>$G50*'nutrient content'!AF47</f>
        <v>4.1160086716568056E-8</v>
      </c>
      <c r="AN50" s="52">
        <f>$G50*'nutrient content'!AG47</f>
        <v>1.8853552427415164E-5</v>
      </c>
      <c r="AO50" s="52">
        <f>$G50*'nutrient content'!AH47</f>
        <v>1.0218828588647658E-3</v>
      </c>
      <c r="AP50" s="52">
        <f>$G50*'nutrient content'!AI47</f>
        <v>0</v>
      </c>
      <c r="AQ50" s="52">
        <f>$G50*'nutrient content'!AJ47</f>
        <v>0</v>
      </c>
      <c r="AR50" s="52">
        <f>$G50*'nutrient content'!AK47</f>
        <v>1.5087978513978801E-5</v>
      </c>
      <c r="AS50" s="52">
        <f>$G50*'nutrient content'!AL47</f>
        <v>0</v>
      </c>
      <c r="AT50" s="52">
        <f>$G50*'nutrient content'!AM47</f>
        <v>0</v>
      </c>
      <c r="AU50" s="52">
        <f>$G50*'nutrient content'!AN47</f>
        <v>0</v>
      </c>
      <c r="AV50" s="52">
        <f>$G50*'nutrient content'!AO47</f>
        <v>4.1017511297842855E-7</v>
      </c>
    </row>
    <row r="51" spans="1:48" x14ac:dyDescent="0.2">
      <c r="A51" s="3" t="s">
        <v>188</v>
      </c>
      <c r="B51" s="52">
        <f>TFP!E62</f>
        <v>6.4656357359552503</v>
      </c>
      <c r="C51" s="110">
        <f>HLOOKUP(TFP!$C$14,cost!$C$6:$S$64,cost!$A52,FALSE)</f>
        <v>0.58884806903791465</v>
      </c>
      <c r="D51" s="110">
        <f t="shared" si="0"/>
        <v>10.980142545969599</v>
      </c>
      <c r="E51" s="52">
        <f t="shared" si="1"/>
        <v>2.4207070627668967</v>
      </c>
      <c r="F51" s="52">
        <f t="shared" si="2"/>
        <v>0.60517676569172418</v>
      </c>
      <c r="G51" s="52">
        <f t="shared" si="3"/>
        <v>0.36118889953847366</v>
      </c>
      <c r="H51" s="52">
        <f t="shared" si="4"/>
        <v>36.118889953847365</v>
      </c>
      <c r="I51" s="52">
        <f>calculations!G51*'nutrient content'!E48</f>
        <v>10.319233418579051</v>
      </c>
      <c r="J51" s="52">
        <f>$G51*'nutrient content'!X48</f>
        <v>3.7974433551770712</v>
      </c>
      <c r="K51" s="52">
        <f>$G51*'nutrient content'!Y48</f>
        <v>7.9330822230972764</v>
      </c>
      <c r="L51" s="52">
        <f>$G51*'nutrient content'!Z48</f>
        <v>0.91413638133412423</v>
      </c>
      <c r="M51" s="52">
        <f>$G51*'nutrient content'!AA48</f>
        <v>0.15020807207289133</v>
      </c>
      <c r="N51" s="52">
        <f>$G51*'nutrient content'!B48</f>
        <v>23.173021655521161</v>
      </c>
      <c r="O51" s="52">
        <f>$G51*'nutrient content'!C48</f>
        <v>0</v>
      </c>
      <c r="P51" s="52">
        <f>$G51*'nutrient content'!D48</f>
        <v>2.6049567234985461E-2</v>
      </c>
      <c r="Q51" s="52">
        <f>$G51*'nutrient content'!F48</f>
        <v>1.0537138830164272</v>
      </c>
      <c r="R51" s="52">
        <f>$G51*'nutrient content'!G48</f>
        <v>31.148609208147928</v>
      </c>
      <c r="S51" s="52">
        <f>$G51*'nutrient content'!H48</f>
        <v>0.3674982184347258</v>
      </c>
      <c r="T51" s="52">
        <f>$G51*'nutrient content'!I48</f>
        <v>9.8958937586525941</v>
      </c>
      <c r="U51" s="52">
        <f>$G51*'nutrient content'!J48</f>
        <v>0.18659935931958807</v>
      </c>
      <c r="V51" s="52">
        <f>$G51*'nutrient content'!K48</f>
        <v>19.236650866705357</v>
      </c>
      <c r="W51" s="52">
        <f>$G51*'nutrient content'!L48</f>
        <v>94.816511669659974</v>
      </c>
      <c r="X51" s="52">
        <f>$G51*'nutrient content'!M48</f>
        <v>4.063069418362987E-2</v>
      </c>
      <c r="Y51" s="52">
        <f>$G51*'nutrient content'!N48</f>
        <v>11.729032101722373</v>
      </c>
      <c r="Z51" s="52">
        <f>$G51*'nutrient content'!O48</f>
        <v>2.2891104640623723E-2</v>
      </c>
      <c r="AA51" s="52">
        <f>$G51*'nutrient content'!P48</f>
        <v>0</v>
      </c>
      <c r="AB51" s="52">
        <f>$G51*'nutrient content'!Q48</f>
        <v>5.4851942464067223E-2</v>
      </c>
      <c r="AC51" s="52">
        <f>$G51*'nutrient content'!R48</f>
        <v>16.239588319027444</v>
      </c>
      <c r="AD51" s="52">
        <f>$G51*'nutrient content'!S48</f>
        <v>0.4743646804624469</v>
      </c>
      <c r="AE51" s="52">
        <f>$G51*'nutrient content'!T48</f>
        <v>61.173890640443432</v>
      </c>
      <c r="AF51" s="52">
        <f>$G51*'nutrient content'!U48</f>
        <v>0.14289381202672813</v>
      </c>
      <c r="AG51" s="52">
        <f>$G51*'nutrient content'!V48</f>
        <v>0.10683761611570261</v>
      </c>
      <c r="AH51" s="52">
        <f>$G51*'nutrient content'!W48</f>
        <v>0.22799572631067985</v>
      </c>
      <c r="AI51" s="52">
        <f>$G51*'nutrient content'!AB48</f>
        <v>0</v>
      </c>
      <c r="AJ51" s="52">
        <f>$G51*'nutrient content'!AC48</f>
        <v>0.27973576429278463</v>
      </c>
      <c r="AK51" s="52">
        <f>$G51*'nutrient content'!AD48</f>
        <v>0</v>
      </c>
      <c r="AL51" s="52">
        <f>$G51*'nutrient content'!AE48</f>
        <v>0</v>
      </c>
      <c r="AM51" s="52">
        <f>$G51*'nutrient content'!AF48</f>
        <v>0</v>
      </c>
      <c r="AN51" s="52">
        <f>$G51*'nutrient content'!AG48</f>
        <v>0</v>
      </c>
      <c r="AO51" s="52">
        <f>$G51*'nutrient content'!AH48</f>
        <v>0</v>
      </c>
      <c r="AP51" s="52">
        <f>$G51*'nutrient content'!AI48</f>
        <v>0</v>
      </c>
      <c r="AQ51" s="52">
        <f>$G51*'nutrient content'!AJ48</f>
        <v>0.27973576429278463</v>
      </c>
      <c r="AR51" s="52">
        <f>$G51*'nutrient content'!AK48</f>
        <v>0</v>
      </c>
      <c r="AS51" s="52">
        <f>$G51*'nutrient content'!AL48</f>
        <v>0</v>
      </c>
      <c r="AT51" s="52">
        <f>$G51*'nutrient content'!AM48</f>
        <v>0</v>
      </c>
      <c r="AU51" s="52">
        <f>$G51*'nutrient content'!AN48</f>
        <v>0</v>
      </c>
      <c r="AV51" s="52">
        <f>$G51*'nutrient content'!AO48</f>
        <v>0</v>
      </c>
    </row>
    <row r="52" spans="1:48" x14ac:dyDescent="0.2">
      <c r="A52" s="3" t="s">
        <v>189</v>
      </c>
      <c r="B52" s="52">
        <f>TFP!E63</f>
        <v>4.7717452351741816</v>
      </c>
      <c r="C52" s="110">
        <f>HLOOKUP(TFP!$C$14,cost!$C$6:$S$64,cost!$A53,FALSE)</f>
        <v>0.25424098340125906</v>
      </c>
      <c r="D52" s="110">
        <f t="shared" si="0"/>
        <v>18.768591795615873</v>
      </c>
      <c r="E52" s="52">
        <f t="shared" si="1"/>
        <v>4.1377662018161168</v>
      </c>
      <c r="F52" s="52">
        <f t="shared" si="2"/>
        <v>1.0344415504540292</v>
      </c>
      <c r="G52" s="52">
        <f t="shared" si="3"/>
        <v>0.61738788801368005</v>
      </c>
      <c r="H52" s="52">
        <f t="shared" si="4"/>
        <v>61.738788801368003</v>
      </c>
      <c r="I52" s="52">
        <f>calculations!G52*'nutrient content'!E49</f>
        <v>28.722080715140635</v>
      </c>
      <c r="J52" s="52">
        <f>$G52*'nutrient content'!X49</f>
        <v>2.5544582456829037</v>
      </c>
      <c r="K52" s="52">
        <f>$G52*'nutrient content'!Y49</f>
        <v>26.693802890249543</v>
      </c>
      <c r="L52" s="52">
        <f>$G52*'nutrient content'!Z49</f>
        <v>1.3021708769343472</v>
      </c>
      <c r="M52" s="52">
        <f>$G52*'nutrient content'!AA49</f>
        <v>0.22591095536882147</v>
      </c>
      <c r="N52" s="52">
        <f>$G52*'nutrient content'!B49</f>
        <v>19.403580616122035</v>
      </c>
      <c r="O52" s="52">
        <f>$G52*'nutrient content'!C49</f>
        <v>8.6759130395655775E-4</v>
      </c>
      <c r="P52" s="52">
        <f>$G52*'nutrient content'!D49</f>
        <v>3.7397305482706214E-2</v>
      </c>
      <c r="Q52" s="52">
        <f>$G52*'nutrient content'!F49</f>
        <v>1.7593560994782997</v>
      </c>
      <c r="R52" s="52">
        <f>$G52*'nutrient content'!G49</f>
        <v>9.78315494387342</v>
      </c>
      <c r="S52" s="52">
        <f>$G52*'nutrient content'!H49</f>
        <v>0.25292766191113375</v>
      </c>
      <c r="T52" s="52">
        <f>$G52*'nutrient content'!I49</f>
        <v>8.472308727766114</v>
      </c>
      <c r="U52" s="52">
        <f>$G52*'nutrient content'!J49</f>
        <v>0.5580998837447575</v>
      </c>
      <c r="V52" s="52">
        <f>$G52*'nutrient content'!K49</f>
        <v>22.123152794384367</v>
      </c>
      <c r="W52" s="52">
        <f>$G52*'nutrient content'!L49</f>
        <v>200.61843324283862</v>
      </c>
      <c r="X52" s="52">
        <f>$G52*'nutrient content'!M49</f>
        <v>3.8789480057136699E-2</v>
      </c>
      <c r="Y52" s="52">
        <f>$G52*'nutrient content'!N49</f>
        <v>35.728281482131941</v>
      </c>
      <c r="Z52" s="52">
        <f>$G52*'nutrient content'!O49</f>
        <v>4.2342997901464972E-2</v>
      </c>
      <c r="AA52" s="52">
        <f>$G52*'nutrient content'!P49</f>
        <v>1.2146278255391811E-4</v>
      </c>
      <c r="AB52" s="52">
        <f>$G52*'nutrient content'!Q49</f>
        <v>9.8713952344010134E-2</v>
      </c>
      <c r="AC52" s="52">
        <f>$G52*'nutrient content'!R49</f>
        <v>4.8531530195390973</v>
      </c>
      <c r="AD52" s="52">
        <f>$G52*'nutrient content'!S49</f>
        <v>0.44227920457313308</v>
      </c>
      <c r="AE52" s="52">
        <f>$G52*'nutrient content'!T49</f>
        <v>403.41537642381576</v>
      </c>
      <c r="AF52" s="52">
        <f>$G52*'nutrient content'!U49</f>
        <v>0.14872493789318897</v>
      </c>
      <c r="AG52" s="52">
        <f>$G52*'nutrient content'!V49</f>
        <v>0.53420996063218862</v>
      </c>
      <c r="AH52" s="52">
        <f>$G52*'nutrient content'!W49</f>
        <v>8.026906461938009E-2</v>
      </c>
      <c r="AI52" s="52">
        <f>$G52*'nutrient content'!AB49</f>
        <v>0</v>
      </c>
      <c r="AJ52" s="52">
        <f>$G52*'nutrient content'!AC49</f>
        <v>0.42126979245888663</v>
      </c>
      <c r="AK52" s="52">
        <f>$G52*'nutrient content'!AD49</f>
        <v>0</v>
      </c>
      <c r="AL52" s="52">
        <f>$G52*'nutrient content'!AE49</f>
        <v>5.0376689064237534E-5</v>
      </c>
      <c r="AM52" s="52">
        <f>$G52*'nutrient content'!AF49</f>
        <v>4.1123827807540834E-6</v>
      </c>
      <c r="AN52" s="52">
        <f>$G52*'nutrient content'!AG49</f>
        <v>0</v>
      </c>
      <c r="AO52" s="52">
        <f>$G52*'nutrient content'!AH49</f>
        <v>9.9189926032154749E-2</v>
      </c>
      <c r="AP52" s="52">
        <f>$G52*'nutrient content'!AI49</f>
        <v>0</v>
      </c>
      <c r="AQ52" s="52">
        <f>$G52*'nutrient content'!AJ49</f>
        <v>0</v>
      </c>
      <c r="AR52" s="52">
        <f>$G52*'nutrient content'!AK49</f>
        <v>0.42125539911915399</v>
      </c>
      <c r="AS52" s="52">
        <f>$G52*'nutrient content'!AL49</f>
        <v>0</v>
      </c>
      <c r="AT52" s="52">
        <f>$G52*'nutrient content'!AM49</f>
        <v>0</v>
      </c>
      <c r="AU52" s="52">
        <f>$G52*'nutrient content'!AN49</f>
        <v>1.4393339732639293E-5</v>
      </c>
      <c r="AV52" s="52">
        <f>$G52*'nutrient content'!AO49</f>
        <v>0</v>
      </c>
    </row>
    <row r="53" spans="1:48" x14ac:dyDescent="0.2">
      <c r="A53" s="2" t="s">
        <v>155</v>
      </c>
      <c r="B53" s="52">
        <f>TFP!E64</f>
        <v>1.3572683942584884E-2</v>
      </c>
      <c r="C53" s="110">
        <f>HLOOKUP(TFP!$C$14,cost!$C$6:$S$64,cost!$A54,FALSE)</f>
        <v>0.32879199398108383</v>
      </c>
      <c r="D53" s="110">
        <f t="shared" si="0"/>
        <v>4.128045752648634E-2</v>
      </c>
      <c r="E53" s="52">
        <f t="shared" si="1"/>
        <v>9.100783042684104E-3</v>
      </c>
      <c r="F53" s="52">
        <f t="shared" si="2"/>
        <v>2.275195760671026E-3</v>
      </c>
      <c r="G53" s="52">
        <f t="shared" si="3"/>
        <v>1.3579097870554718E-3</v>
      </c>
      <c r="H53" s="52">
        <f t="shared" si="4"/>
        <v>0.13579097870554718</v>
      </c>
      <c r="I53" s="52">
        <f>calculations!G53*'nutrient content'!E50</f>
        <v>0.10304073954784858</v>
      </c>
      <c r="J53" s="52">
        <f>$G53*'nutrient content'!X50</f>
        <v>1.2608012853609924E-2</v>
      </c>
      <c r="K53" s="52">
        <f>$G53*'nutrient content'!Y50</f>
        <v>5.8340019884946893E-2</v>
      </c>
      <c r="L53" s="52">
        <f>$G53*'nutrient content'!Z50</f>
        <v>4.0208784070044502E-2</v>
      </c>
      <c r="M53" s="52">
        <f>$G53*'nutrient content'!AA50</f>
        <v>1.0096661222577612E-2</v>
      </c>
      <c r="N53" s="52">
        <f>$G53*'nutrient content'!B50</f>
        <v>5.2485351841813695E-2</v>
      </c>
      <c r="O53" s="52">
        <f>$G53*'nutrient content'!C50</f>
        <v>2.1858472508045229E-3</v>
      </c>
      <c r="P53" s="52">
        <f>$G53*'nutrient content'!D50</f>
        <v>1.0642412840318343E-4</v>
      </c>
      <c r="Q53" s="52">
        <f>$G53*'nutrient content'!F50</f>
        <v>3.1649194364678848E-3</v>
      </c>
      <c r="R53" s="52">
        <f>$G53*'nutrient content'!G50</f>
        <v>4.8246951723284047E-2</v>
      </c>
      <c r="S53" s="52">
        <f>$G53*'nutrient content'!H50</f>
        <v>9.7063807837555573E-4</v>
      </c>
      <c r="T53" s="52">
        <f>$G53*'nutrient content'!I50</f>
        <v>2.8030478368653113E-2</v>
      </c>
      <c r="U53" s="52">
        <f>$G53*'nutrient content'!J50</f>
        <v>1.0332492259239607E-3</v>
      </c>
      <c r="V53" s="52">
        <f>$G53*'nutrient content'!K50</f>
        <v>6.5150937170713921E-2</v>
      </c>
      <c r="W53" s="52">
        <f>$G53*'nutrient content'!L50</f>
        <v>0.26569158577895274</v>
      </c>
      <c r="X53" s="52">
        <f>$G53*'nutrient content'!M50</f>
        <v>1.2288067989216887E-4</v>
      </c>
      <c r="Y53" s="52">
        <f>$G53*'nutrient content'!N50</f>
        <v>0.13288436642469237</v>
      </c>
      <c r="Z53" s="52">
        <f>$G53*'nutrient content'!O50</f>
        <v>1.0620552622483155E-4</v>
      </c>
      <c r="AA53" s="52">
        <f>$G53*'nutrient content'!P50</f>
        <v>3.1892593452226907E-5</v>
      </c>
      <c r="AB53" s="52">
        <f>$G53*'nutrient content'!Q50</f>
        <v>1.2634853259247967E-4</v>
      </c>
      <c r="AC53" s="52">
        <f>$G53*'nutrient content'!R50</f>
        <v>1.6752943295134146E-2</v>
      </c>
      <c r="AD53" s="52">
        <f>$G53*'nutrient content'!S50</f>
        <v>5.5981505238688505E-4</v>
      </c>
      <c r="AE53" s="52">
        <f>$G53*'nutrient content'!T50</f>
        <v>5.1794570836394133E-2</v>
      </c>
      <c r="AF53" s="52">
        <f>$G53*'nutrient content'!U50</f>
        <v>5.2114782736212826E-4</v>
      </c>
      <c r="AG53" s="52">
        <f>$G53*'nutrient content'!V50</f>
        <v>1.0986395077101087E-2</v>
      </c>
      <c r="AH53" s="52">
        <f>$G53*'nutrient content'!W50</f>
        <v>1.5576893928601135E-3</v>
      </c>
      <c r="AI53" s="52">
        <f>$G53*'nutrient content'!AB50</f>
        <v>2.7665964578865735E-5</v>
      </c>
      <c r="AJ53" s="52">
        <f>$G53*'nutrient content'!AC50</f>
        <v>7.7056399862850643E-4</v>
      </c>
      <c r="AK53" s="52">
        <f>$G53*'nutrient content'!AD50</f>
        <v>1.9699891794197244E-5</v>
      </c>
      <c r="AL53" s="52">
        <f>$G53*'nutrient content'!AE50</f>
        <v>4.0859643545850327E-5</v>
      </c>
      <c r="AM53" s="52">
        <f>$G53*'nutrient content'!AF50</f>
        <v>8.9511909724680231E-8</v>
      </c>
      <c r="AN53" s="52">
        <f>$G53*'nutrient content'!AG50</f>
        <v>4.718410264914486E-4</v>
      </c>
      <c r="AO53" s="52">
        <f>$G53*'nutrient content'!AH50</f>
        <v>2.5600938472448608E-2</v>
      </c>
      <c r="AP53" s="52">
        <f>$G53*'nutrient content'!AI50</f>
        <v>0</v>
      </c>
      <c r="AQ53" s="52">
        <f>$G53*'nutrient content'!AJ50</f>
        <v>1.4898084736232688E-5</v>
      </c>
      <c r="AR53" s="52">
        <f>$G53*'nutrient content'!AK50</f>
        <v>3.0624118546101882E-8</v>
      </c>
      <c r="AS53" s="52">
        <f>$G53*'nutrient content'!AL50</f>
        <v>0</v>
      </c>
      <c r="AT53" s="52">
        <f>$G53*'nutrient content'!AM50</f>
        <v>2.443260837997188E-4</v>
      </c>
      <c r="AU53" s="52">
        <f>$G53*'nutrient content'!AN50</f>
        <v>5.1131358084808708E-4</v>
      </c>
      <c r="AV53" s="52">
        <f>$G53*'nutrient content'!AO50</f>
        <v>1.9699891794197244E-5</v>
      </c>
    </row>
    <row r="54" spans="1:48" x14ac:dyDescent="0.2">
      <c r="A54" s="2" t="s">
        <v>48</v>
      </c>
      <c r="B54" s="52">
        <f>TFP!E65</f>
        <v>6.4277723426814175</v>
      </c>
      <c r="C54" s="110">
        <f>HLOOKUP(TFP!$C$14,cost!$C$6:$S$64,cost!$A55,FALSE)</f>
        <v>0.23481062299856423</v>
      </c>
      <c r="D54" s="110">
        <f t="shared" si="0"/>
        <v>27.37428256267912</v>
      </c>
      <c r="E54" s="52">
        <f t="shared" si="1"/>
        <v>6.034996254395395</v>
      </c>
      <c r="F54" s="52">
        <f t="shared" si="2"/>
        <v>1.5087490635988487</v>
      </c>
      <c r="G54" s="52">
        <f t="shared" si="3"/>
        <v>0.90046982114076057</v>
      </c>
      <c r="H54" s="52">
        <f t="shared" si="4"/>
        <v>90.046982114076059</v>
      </c>
      <c r="I54" s="52">
        <f>calculations!G54*'nutrient content'!E51</f>
        <v>52.124416082531589</v>
      </c>
      <c r="J54" s="52">
        <f>$G54*'nutrient content'!X51</f>
        <v>6.3763322228224339</v>
      </c>
      <c r="K54" s="52">
        <f>$G54*'nutrient content'!Y51</f>
        <v>31.109641190102078</v>
      </c>
      <c r="L54" s="52">
        <f>$G54*'nutrient content'!Z51</f>
        <v>16.168133490257418</v>
      </c>
      <c r="M54" s="52">
        <f>$G54*'nutrient content'!AA51</f>
        <v>3.9576380052553706</v>
      </c>
      <c r="N54" s="52">
        <f>$G54*'nutrient content'!B51</f>
        <v>31.26407050203898</v>
      </c>
      <c r="O54" s="52">
        <f>$G54*'nutrient content'!C51</f>
        <v>1.7209142517353306</v>
      </c>
      <c r="P54" s="52">
        <f>$G54*'nutrient content'!D51</f>
        <v>9.7566355727328247E-2</v>
      </c>
      <c r="Q54" s="52">
        <f>$G54*'nutrient content'!F51</f>
        <v>0.95180073103773399</v>
      </c>
      <c r="R54" s="52">
        <f>$G54*'nutrient content'!G51</f>
        <v>9.2591298015416612</v>
      </c>
      <c r="S54" s="52">
        <f>$G54*'nutrient content'!H51</f>
        <v>0.67546189002289159</v>
      </c>
      <c r="T54" s="52">
        <f>$G54*'nutrient content'!I51</f>
        <v>11.984081055636789</v>
      </c>
      <c r="U54" s="52">
        <f>$G54*'nutrient content'!J51</f>
        <v>0.78895802366061596</v>
      </c>
      <c r="V54" s="52">
        <f>$G54*'nutrient content'!K51</f>
        <v>36.94522367854691</v>
      </c>
      <c r="W54" s="52">
        <f>$G54*'nutrient content'!L51</f>
        <v>225.21517384679251</v>
      </c>
      <c r="X54" s="52">
        <f>$G54*'nutrient content'!M51</f>
        <v>6.0412196575739464E-2</v>
      </c>
      <c r="Y54" s="52">
        <f>$G54*'nutrient content'!N51</f>
        <v>339.2528330328459</v>
      </c>
      <c r="Z54" s="52">
        <f>$G54*'nutrient content'!O51</f>
        <v>4.4538112699939875E-2</v>
      </c>
      <c r="AA54" s="52">
        <f>$G54*'nutrient content'!P51</f>
        <v>5.6482550235550884E-2</v>
      </c>
      <c r="AB54" s="52">
        <f>$G54*'nutrient content'!Q51</f>
        <v>8.3441149941204759E-2</v>
      </c>
      <c r="AC54" s="52">
        <f>$G54*'nutrient content'!R51</f>
        <v>12.599048085535056</v>
      </c>
      <c r="AD54" s="52">
        <f>$G54*'nutrient content'!S51</f>
        <v>1.390394008128649</v>
      </c>
      <c r="AE54" s="52">
        <f>$G54*'nutrient content'!T51</f>
        <v>37.25171711737832</v>
      </c>
      <c r="AF54" s="52">
        <f>$G54*'nutrient content'!U51</f>
        <v>0.20936239139553492</v>
      </c>
      <c r="AG54" s="52">
        <f>$G54*'nutrient content'!V51</f>
        <v>4.7497478489176856</v>
      </c>
      <c r="AH54" s="52">
        <f>$G54*'nutrient content'!W51</f>
        <v>0.47299727692907156</v>
      </c>
      <c r="AI54" s="52">
        <f>$G54*'nutrient content'!AB51</f>
        <v>6.5402397808486959E-2</v>
      </c>
      <c r="AJ54" s="52">
        <f>$G54*'nutrient content'!AC51</f>
        <v>0.51597721894452231</v>
      </c>
      <c r="AK54" s="52">
        <f>$G54*'nutrient content'!AD51</f>
        <v>0</v>
      </c>
      <c r="AL54" s="52">
        <f>$G54*'nutrient content'!AE51</f>
        <v>6.0173774825237336E-2</v>
      </c>
      <c r="AM54" s="52">
        <f>$G54*'nutrient content'!AF51</f>
        <v>8.4899052769307395E-3</v>
      </c>
      <c r="AN54" s="52">
        <f>$G54*'nutrient content'!AG51</f>
        <v>6.6478218486430901E-2</v>
      </c>
      <c r="AO54" s="52">
        <f>$G54*'nutrient content'!AH51</f>
        <v>12.56288695471245</v>
      </c>
      <c r="AP54" s="52">
        <f>$G54*'nutrient content'!AI51</f>
        <v>0</v>
      </c>
      <c r="AQ54" s="52">
        <f>$G54*'nutrient content'!AJ51</f>
        <v>0</v>
      </c>
      <c r="AR54" s="52">
        <f>$G54*'nutrient content'!AK51</f>
        <v>4.2044012340133686E-3</v>
      </c>
      <c r="AS54" s="52">
        <f>$G54*'nutrient content'!AL51</f>
        <v>4.0762182395756753E-4</v>
      </c>
      <c r="AT54" s="52">
        <f>$G54*'nutrient content'!AM51</f>
        <v>3.8497616707103598E-3</v>
      </c>
      <c r="AU54" s="52">
        <f>$G54*'nutrient content'!AN51</f>
        <v>0.50829385776579727</v>
      </c>
      <c r="AV54" s="52">
        <f>$G54*'nutrient content'!AO51</f>
        <v>0</v>
      </c>
    </row>
    <row r="55" spans="1:48" x14ac:dyDescent="0.2">
      <c r="A55" s="3" t="s">
        <v>190</v>
      </c>
      <c r="B55" s="52">
        <f>TFP!E66</f>
        <v>0.18860345304719894</v>
      </c>
      <c r="C55" s="110">
        <f>HLOOKUP(TFP!$C$14,cost!$C$6:$S$64,cost!$A56,FALSE)</f>
        <v>0.32780020650095376</v>
      </c>
      <c r="D55" s="110">
        <f t="shared" si="0"/>
        <v>0.57536099522454143</v>
      </c>
      <c r="E55" s="52">
        <f t="shared" si="1"/>
        <v>0.12684538647377361</v>
      </c>
      <c r="F55" s="52">
        <f t="shared" si="2"/>
        <v>3.1711346618443402E-2</v>
      </c>
      <c r="G55" s="52">
        <f t="shared" si="3"/>
        <v>1.8926348527123073E-2</v>
      </c>
      <c r="H55" s="52">
        <f t="shared" si="4"/>
        <v>1.8926348527123074</v>
      </c>
      <c r="I55" s="52">
        <f>calculations!G55*'nutrient content'!E52</f>
        <v>0.79000390089500783</v>
      </c>
      <c r="J55" s="52">
        <f>$G55*'nutrient content'!X52</f>
        <v>0.14910161768795976</v>
      </c>
      <c r="K55" s="52">
        <f>$G55*'nutrient content'!Y52</f>
        <v>0.5788928166514612</v>
      </c>
      <c r="L55" s="52">
        <f>$G55*'nutrient content'!Z52</f>
        <v>0.14126607121104301</v>
      </c>
      <c r="M55" s="52">
        <f>$G55*'nutrient content'!AA52</f>
        <v>4.0518126349233373E-2</v>
      </c>
      <c r="N55" s="52">
        <f>$G55*'nutrient content'!B52</f>
        <v>0.3902640670465839</v>
      </c>
      <c r="O55" s="52">
        <f>$G55*'nutrient content'!C52</f>
        <v>3.0676171074977412E-2</v>
      </c>
      <c r="P55" s="52">
        <f>$G55*'nutrient content'!D52</f>
        <v>1.0935686727198146E-3</v>
      </c>
      <c r="Q55" s="52">
        <f>$G55*'nutrient content'!F52</f>
        <v>2.9291075922417156E-2</v>
      </c>
      <c r="R55" s="52">
        <f>$G55*'nutrient content'!G52</f>
        <v>0.69049399831334091</v>
      </c>
      <c r="S55" s="52">
        <f>$G55*'nutrient content'!H52</f>
        <v>1.1144712192637829E-2</v>
      </c>
      <c r="T55" s="52">
        <f>$G55*'nutrient content'!I52</f>
        <v>0.27743600044080557</v>
      </c>
      <c r="U55" s="52">
        <f>$G55*'nutrient content'!J52</f>
        <v>1.0851907065314038E-2</v>
      </c>
      <c r="V55" s="52">
        <f>$G55*'nutrient content'!K52</f>
        <v>0.73508486926793126</v>
      </c>
      <c r="W55" s="52">
        <f>$G55*'nutrient content'!L52</f>
        <v>3.5771835070086282</v>
      </c>
      <c r="X55" s="52">
        <f>$G55*'nutrient content'!M52</f>
        <v>1.0153298746905844E-3</v>
      </c>
      <c r="Y55" s="52">
        <f>$G55*'nutrient content'!N52</f>
        <v>2.1742133387213256</v>
      </c>
      <c r="Z55" s="52">
        <f>$G55*'nutrient content'!O52</f>
        <v>1.0785827777744631E-3</v>
      </c>
      <c r="AA55" s="52">
        <f>$G55*'nutrient content'!P52</f>
        <v>6.6699524785725347E-4</v>
      </c>
      <c r="AB55" s="52">
        <f>$G55*'nutrient content'!Q52</f>
        <v>1.6910716095933801E-3</v>
      </c>
      <c r="AC55" s="52">
        <f>$G55*'nutrient content'!R52</f>
        <v>0.21524835394816086</v>
      </c>
      <c r="AD55" s="52">
        <f>$G55*'nutrient content'!S52</f>
        <v>2.8105398947935326E-3</v>
      </c>
      <c r="AE55" s="52">
        <f>$G55*'nutrient content'!T52</f>
        <v>0.57914078151030957</v>
      </c>
      <c r="AF55" s="52">
        <f>$G55*'nutrient content'!U52</f>
        <v>7.6933985087050006E-3</v>
      </c>
      <c r="AG55" s="52">
        <f>$G55*'nutrient content'!V52</f>
        <v>2.6238530244590386E-2</v>
      </c>
      <c r="AH55" s="52">
        <f>$G55*'nutrient content'!W52</f>
        <v>5.713092151712628E-3</v>
      </c>
      <c r="AI55" s="52">
        <f>$G55*'nutrient content'!AB52</f>
        <v>8.4113568767963255E-5</v>
      </c>
      <c r="AJ55" s="52">
        <f>$G55*'nutrient content'!AC52</f>
        <v>1.2258653825257553E-2</v>
      </c>
      <c r="AK55" s="52">
        <f>$G55*'nutrient content'!AD52</f>
        <v>2.1462776936265643E-4</v>
      </c>
      <c r="AL55" s="52">
        <f>$G55*'nutrient content'!AE52</f>
        <v>0</v>
      </c>
      <c r="AM55" s="52">
        <f>$G55*'nutrient content'!AF52</f>
        <v>8.2338466981958394E-4</v>
      </c>
      <c r="AN55" s="52">
        <f>$G55*'nutrient content'!AG52</f>
        <v>4.1926464803258975E-4</v>
      </c>
      <c r="AO55" s="52">
        <f>$G55*'nutrient content'!AH52</f>
        <v>5.994122007294439E-2</v>
      </c>
      <c r="AP55" s="52">
        <f>$G55*'nutrient content'!AI52</f>
        <v>1.5889063236897127E-5</v>
      </c>
      <c r="AQ55" s="52">
        <f>$G55*'nutrient content'!AJ52</f>
        <v>2.1650153034932974E-4</v>
      </c>
      <c r="AR55" s="52">
        <f>$G55*'nutrient content'!AK52</f>
        <v>1.2240852101460257E-4</v>
      </c>
      <c r="AS55" s="52">
        <f>$G55*'nutrient content'!AL52</f>
        <v>1.325580466752064E-5</v>
      </c>
      <c r="AT55" s="52">
        <f>$G55*'nutrient content'!AM52</f>
        <v>2.6174792961103344E-3</v>
      </c>
      <c r="AU55" s="52">
        <f>$G55*'nutrient content'!AN52</f>
        <v>9.3035878110836606E-3</v>
      </c>
      <c r="AV55" s="52">
        <f>$G55*'nutrient content'!AO52</f>
        <v>2.1462776936265643E-4</v>
      </c>
    </row>
    <row r="56" spans="1:48" x14ac:dyDescent="0.2">
      <c r="A56" s="3" t="s">
        <v>191</v>
      </c>
      <c r="B56" s="52">
        <f>TFP!E67</f>
        <v>0.13378488239579986</v>
      </c>
      <c r="C56" s="110">
        <f>HLOOKUP(TFP!$C$14,cost!$C$6:$S$64,cost!$A57,FALSE)</f>
        <v>0.37913471472867982</v>
      </c>
      <c r="D56" s="110">
        <f t="shared" si="0"/>
        <v>0.35286898613739537</v>
      </c>
      <c r="E56" s="52">
        <f t="shared" si="1"/>
        <v>7.7794294873496816E-2</v>
      </c>
      <c r="F56" s="52">
        <f t="shared" si="2"/>
        <v>1.9448573718374204E-2</v>
      </c>
      <c r="G56" s="52">
        <f t="shared" si="3"/>
        <v>1.1607532438730112E-2</v>
      </c>
      <c r="H56" s="52">
        <f t="shared" si="4"/>
        <v>1.1607532438730113</v>
      </c>
      <c r="I56" s="52">
        <f>calculations!G56*'nutrient content'!E53</f>
        <v>0.25338622504513736</v>
      </c>
      <c r="J56" s="52">
        <f>$G56*'nutrient content'!X53</f>
        <v>4.5071224258342354E-2</v>
      </c>
      <c r="K56" s="52">
        <f>$G56*'nutrient content'!Y53</f>
        <v>0.20452262604922741</v>
      </c>
      <c r="L56" s="52">
        <f>$G56*'nutrient content'!Z53</f>
        <v>3.5555964138588102E-2</v>
      </c>
      <c r="M56" s="52">
        <f>$G56*'nutrient content'!AA53</f>
        <v>7.9714887616776885E-3</v>
      </c>
      <c r="N56" s="52">
        <f>$G56*'nutrient content'!B53</f>
        <v>0.12310689791470483</v>
      </c>
      <c r="O56" s="52">
        <f>$G56*'nutrient content'!C53</f>
        <v>5.2979754654666634E-3</v>
      </c>
      <c r="P56" s="52">
        <f>$G56*'nutrient content'!D53</f>
        <v>7.9835403130976189E-4</v>
      </c>
      <c r="Q56" s="52">
        <f>$G56*'nutrient content'!F53</f>
        <v>1.2184857851306763E-2</v>
      </c>
      <c r="R56" s="52">
        <f>$G56*'nutrient content'!G53</f>
        <v>0.17267902831275067</v>
      </c>
      <c r="S56" s="52">
        <f>$G56*'nutrient content'!H53</f>
        <v>3.9856312924128126E-3</v>
      </c>
      <c r="T56" s="52">
        <f>$G56*'nutrient content'!I53</f>
        <v>0.12041742307842261</v>
      </c>
      <c r="U56" s="52">
        <f>$G56*'nutrient content'!J53</f>
        <v>7.1694867349174378E-3</v>
      </c>
      <c r="V56" s="52">
        <f>$G56*'nutrient content'!K53</f>
        <v>0.27208903326074496</v>
      </c>
      <c r="W56" s="52">
        <f>$G56*'nutrient content'!L53</f>
        <v>2.5400155047131925</v>
      </c>
      <c r="X56" s="52">
        <f>$G56*'nutrient content'!M53</f>
        <v>2.6635115552369663E-4</v>
      </c>
      <c r="Y56" s="52">
        <f>$G56*'nutrient content'!N53</f>
        <v>0.85601539228421863</v>
      </c>
      <c r="Z56" s="52">
        <f>$G56*'nutrient content'!O53</f>
        <v>4.7277052083730521E-4</v>
      </c>
      <c r="AA56" s="52">
        <f>$G56*'nutrient content'!P53</f>
        <v>8.6893149266128615E-5</v>
      </c>
      <c r="AB56" s="52">
        <f>$G56*'nutrient content'!Q53</f>
        <v>9.2340124549043941E-4</v>
      </c>
      <c r="AC56" s="52">
        <f>$G56*'nutrient content'!R53</f>
        <v>0.15521526020564172</v>
      </c>
      <c r="AD56" s="52">
        <f>$G56*'nutrient content'!S53</f>
        <v>6.4327998534506299E-3</v>
      </c>
      <c r="AE56" s="52">
        <f>$G56*'nutrient content'!T53</f>
        <v>0.45894474494812137</v>
      </c>
      <c r="AF56" s="52">
        <f>$G56*'nutrient content'!U53</f>
        <v>2.0659775272820506E-3</v>
      </c>
      <c r="AG56" s="52">
        <f>$G56*'nutrient content'!V53</f>
        <v>1.5591888119666778E-2</v>
      </c>
      <c r="AH56" s="52">
        <f>$G56*'nutrient content'!W53</f>
        <v>1.4302455500126081E-3</v>
      </c>
      <c r="AI56" s="52">
        <f>$G56*'nutrient content'!AB53</f>
        <v>2.570627707040929E-4</v>
      </c>
      <c r="AJ56" s="52">
        <f>$G56*'nutrient content'!AC53</f>
        <v>5.9000004235575084E-3</v>
      </c>
      <c r="AK56" s="52">
        <f>$G56*'nutrient content'!AD53</f>
        <v>7.1763909794048151E-7</v>
      </c>
      <c r="AL56" s="52">
        <f>$G56*'nutrient content'!AE53</f>
        <v>1.9159323772630259E-5</v>
      </c>
      <c r="AM56" s="52">
        <f>$G56*'nutrient content'!AF53</f>
        <v>8.6195270099391133E-5</v>
      </c>
      <c r="AN56" s="52">
        <f>$G56*'nutrient content'!AG53</f>
        <v>2.8769221545951318E-5</v>
      </c>
      <c r="AO56" s="52">
        <f>$G56*'nutrient content'!AH53</f>
        <v>1.1346245097177333E-2</v>
      </c>
      <c r="AP56" s="52">
        <f>$G56*'nutrient content'!AI53</f>
        <v>9.5072281243726712E-7</v>
      </c>
      <c r="AQ56" s="52">
        <f>$G56*'nutrient content'!AJ53</f>
        <v>7.3627296127556111E-7</v>
      </c>
      <c r="AR56" s="52">
        <f>$G56*'nutrient content'!AK53</f>
        <v>1.9016385252716073E-5</v>
      </c>
      <c r="AS56" s="52">
        <f>$G56*'nutrient content'!AL53</f>
        <v>2.1291175145727093E-6</v>
      </c>
      <c r="AT56" s="52">
        <f>$G56*'nutrient content'!AM53</f>
        <v>1.8011278854987371E-5</v>
      </c>
      <c r="AU56" s="52">
        <f>$G56*'nutrient content'!AN53</f>
        <v>5.8629792395360194E-3</v>
      </c>
      <c r="AV56" s="52">
        <f>$G56*'nutrient content'!AO53</f>
        <v>7.1763909794048151E-7</v>
      </c>
    </row>
    <row r="57" spans="1:48" x14ac:dyDescent="0.2">
      <c r="A57" s="2" t="s">
        <v>422</v>
      </c>
      <c r="B57" s="52">
        <f>TFP!E68</f>
        <v>6.5953371115302462</v>
      </c>
      <c r="C57" s="110">
        <f>HLOOKUP(TFP!$C$14,cost!$C$6:$S$64,cost!$A58,FALSE)</f>
        <v>0.36759613800672869</v>
      </c>
      <c r="D57" s="110">
        <f t="shared" si="0"/>
        <v>17.941801965856129</v>
      </c>
      <c r="E57" s="52">
        <f t="shared" si="1"/>
        <v>3.9554902457486887</v>
      </c>
      <c r="F57" s="52">
        <f t="shared" si="2"/>
        <v>0.98887256143717217</v>
      </c>
      <c r="G57" s="52">
        <f t="shared" si="3"/>
        <v>0.59019085414000427</v>
      </c>
      <c r="H57" s="52">
        <f t="shared" si="4"/>
        <v>59.019085414000429</v>
      </c>
      <c r="I57" s="52">
        <f>calculations!G57*'nutrient content'!E54</f>
        <v>67.187867810022809</v>
      </c>
      <c r="J57" s="52">
        <f>$G57*'nutrient content'!X54</f>
        <v>5.7770111424438726</v>
      </c>
      <c r="K57" s="52">
        <f>$G57*'nutrient content'!Y54</f>
        <v>23.505691525653695</v>
      </c>
      <c r="L57" s="52">
        <f>$G57*'nutrient content'!Z54</f>
        <v>40.623400368899901</v>
      </c>
      <c r="M57" s="52">
        <f>$G57*'nutrient content'!AA54</f>
        <v>8.4310426984572633</v>
      </c>
      <c r="N57" s="52">
        <f>$G57*'nutrient content'!B54</f>
        <v>28.532344912722571</v>
      </c>
      <c r="O57" s="52">
        <f>$G57*'nutrient content'!C54</f>
        <v>7.3183490462798977</v>
      </c>
      <c r="P57" s="52">
        <f>$G57*'nutrient content'!D54</f>
        <v>3.565370024741233E-2</v>
      </c>
      <c r="Q57" s="52">
        <f>$G57*'nutrient content'!F54</f>
        <v>1.096823661998517</v>
      </c>
      <c r="R57" s="52">
        <f>$G57*'nutrient content'!G54</f>
        <v>14.875942148983965</v>
      </c>
      <c r="S57" s="52">
        <f>$G57*'nutrient content'!H54</f>
        <v>0.41144252406386089</v>
      </c>
      <c r="T57" s="52">
        <f>$G57*'nutrient content'!I54</f>
        <v>8.4803058463241427</v>
      </c>
      <c r="U57" s="52">
        <f>$G57*'nutrient content'!J54</f>
        <v>0.39609788119665579</v>
      </c>
      <c r="V57" s="52">
        <f>$G57*'nutrient content'!K54</f>
        <v>32.037125103781847</v>
      </c>
      <c r="W57" s="52">
        <f>$G57*'nutrient content'!L54</f>
        <v>121.234490878758</v>
      </c>
      <c r="X57" s="52">
        <f>$G57*'nutrient content'!M54</f>
        <v>4.687172701596224E-2</v>
      </c>
      <c r="Y57" s="52">
        <f>$G57*'nutrient content'!N54</f>
        <v>64.665276989330863</v>
      </c>
      <c r="Z57" s="52">
        <f>$G57*'nutrient content'!O54</f>
        <v>3.8409257902729123E-2</v>
      </c>
      <c r="AA57" s="52">
        <f>$G57*'nutrient content'!P54</f>
        <v>3.2989269084599107E-2</v>
      </c>
      <c r="AB57" s="52">
        <f>$G57*'nutrient content'!Q54</f>
        <v>7.3700348565229168E-2</v>
      </c>
      <c r="AC57" s="52">
        <f>$G57*'nutrient content'!R54</f>
        <v>9.9852739882944643</v>
      </c>
      <c r="AD57" s="52">
        <f>$G57*'nutrient content'!S54</f>
        <v>0.55311617557073012</v>
      </c>
      <c r="AE57" s="52">
        <f>$G57*'nutrient content'!T54</f>
        <v>79.620067466680368</v>
      </c>
      <c r="AF57" s="52">
        <f>$G57*'nutrient content'!U54</f>
        <v>0.21278677877918303</v>
      </c>
      <c r="AG57" s="52">
        <f>$G57*'nutrient content'!V54</f>
        <v>15.724496493586841</v>
      </c>
      <c r="AH57" s="52">
        <f>$G57*'nutrient content'!W54</f>
        <v>1.8506959656760589</v>
      </c>
      <c r="AI57" s="52">
        <f>$G57*'nutrient content'!AB54</f>
        <v>5.4702162265546479E-2</v>
      </c>
      <c r="AJ57" s="52">
        <f>$G57*'nutrient content'!AC54</f>
        <v>0.38568839277878136</v>
      </c>
      <c r="AK57" s="52">
        <f>$G57*'nutrient content'!AD54</f>
        <v>2.7695468449943717E-3</v>
      </c>
      <c r="AL57" s="52">
        <f>$G57*'nutrient content'!AE54</f>
        <v>4.0333082937368689E-2</v>
      </c>
      <c r="AM57" s="52">
        <f>$G57*'nutrient content'!AF54</f>
        <v>3.8437387506628326E-2</v>
      </c>
      <c r="AN57" s="52">
        <f>$G57*'nutrient content'!AG54</f>
        <v>3.4848079365490983</v>
      </c>
      <c r="AO57" s="52">
        <f>$G57*'nutrient content'!AH54</f>
        <v>14.51917551961863</v>
      </c>
      <c r="AP57" s="52">
        <f>$G57*'nutrient content'!AI54</f>
        <v>9.4181648730427281E-3</v>
      </c>
      <c r="AQ57" s="52">
        <f>$G57*'nutrient content'!AJ54</f>
        <v>8.9197530223769604E-3</v>
      </c>
      <c r="AR57" s="52">
        <f>$G57*'nutrient content'!AK54</f>
        <v>5.8443113501680348E-2</v>
      </c>
      <c r="AS57" s="52">
        <f>$G57*'nutrient content'!AL54</f>
        <v>7.2739525936262495E-4</v>
      </c>
      <c r="AT57" s="52">
        <f>$G57*'nutrient content'!AM54</f>
        <v>4.3748122482805511E-2</v>
      </c>
      <c r="AU57" s="52">
        <f>$G57*'nutrient content'!AN54</f>
        <v>0.27458000659911563</v>
      </c>
      <c r="AV57" s="52">
        <f>$G57*'nutrient content'!AO54</f>
        <v>2.7695468449943717E-3</v>
      </c>
    </row>
    <row r="58" spans="1:48" x14ac:dyDescent="0.2">
      <c r="A58" s="3" t="s">
        <v>192</v>
      </c>
      <c r="B58" s="52">
        <f>TFP!E69</f>
        <v>2.2972494364316409</v>
      </c>
      <c r="C58" s="110">
        <f>HLOOKUP(TFP!$C$14,cost!$C$6:$S$64,cost!$A59,FALSE)</f>
        <v>0.3763173420858501</v>
      </c>
      <c r="D58" s="110">
        <f t="shared" si="0"/>
        <v>6.1045537356807866</v>
      </c>
      <c r="E58" s="52">
        <f t="shared" si="1"/>
        <v>1.3458237250687364</v>
      </c>
      <c r="F58" s="52">
        <f t="shared" si="2"/>
        <v>0.33645593126718409</v>
      </c>
      <c r="G58" s="52">
        <f t="shared" si="3"/>
        <v>0.2008076886737101</v>
      </c>
      <c r="H58" s="52">
        <f t="shared" si="4"/>
        <v>20.08076886737101</v>
      </c>
      <c r="I58" s="52">
        <f>calculations!G58*'nutrient content'!E55</f>
        <v>10.720957892735294</v>
      </c>
      <c r="J58" s="52">
        <f>$G58*'nutrient content'!X55</f>
        <v>1.91825472071948</v>
      </c>
      <c r="K58" s="52">
        <f>$G58*'nutrient content'!Y55</f>
        <v>7.9156697873151902</v>
      </c>
      <c r="L58" s="52">
        <f>$G58*'nutrient content'!Z55</f>
        <v>1.5740377417348514</v>
      </c>
      <c r="M58" s="52">
        <f>$G58*'nutrient content'!AA55</f>
        <v>0.48059031971944222</v>
      </c>
      <c r="N58" s="52">
        <f>$G58*'nutrient content'!B55</f>
        <v>3.7542625619417862</v>
      </c>
      <c r="O58" s="52">
        <f>$G58*'nutrient content'!C55</f>
        <v>9.9899099289056811E-2</v>
      </c>
      <c r="P58" s="52">
        <f>$G58*'nutrient content'!D55</f>
        <v>1.6272992103294581E-2</v>
      </c>
      <c r="Q58" s="52">
        <f>$G58*'nutrient content'!F55</f>
        <v>0.4697765077034991</v>
      </c>
      <c r="R58" s="52">
        <f>$G58*'nutrient content'!G55</f>
        <v>4.5950820706064999</v>
      </c>
      <c r="S58" s="52">
        <f>$G58*'nutrient content'!H55</f>
        <v>0.15271627405167323</v>
      </c>
      <c r="T58" s="52">
        <f>$G58*'nutrient content'!I55</f>
        <v>2.9279480469937287</v>
      </c>
      <c r="U58" s="52">
        <f>$G58*'nutrient content'!J55</f>
        <v>0.17144133547225215</v>
      </c>
      <c r="V58" s="52">
        <f>$G58*'nutrient content'!K55</f>
        <v>8.5946292167056857</v>
      </c>
      <c r="W58" s="52">
        <f>$G58*'nutrient content'!L55</f>
        <v>39.182786307703012</v>
      </c>
      <c r="X58" s="52">
        <f>$G58*'nutrient content'!M55</f>
        <v>1.2206212219887477E-2</v>
      </c>
      <c r="Y58" s="52">
        <f>$G58*'nutrient content'!N55</f>
        <v>28.663386556575709</v>
      </c>
      <c r="Z58" s="52">
        <f>$G58*'nutrient content'!O55</f>
        <v>1.7201964014460478E-2</v>
      </c>
      <c r="AA58" s="52">
        <f>$G58*'nutrient content'!P55</f>
        <v>2.3796081367544967E-3</v>
      </c>
      <c r="AB58" s="52">
        <f>$G58*'nutrient content'!Q55</f>
        <v>2.1719264168168155E-2</v>
      </c>
      <c r="AC58" s="52">
        <f>$G58*'nutrient content'!R55</f>
        <v>2.4516445822531563</v>
      </c>
      <c r="AD58" s="52">
        <f>$G58*'nutrient content'!S55</f>
        <v>7.8886876180675358E-2</v>
      </c>
      <c r="AE58" s="52">
        <f>$G58*'nutrient content'!T55</f>
        <v>26.964155459741232</v>
      </c>
      <c r="AF58" s="52">
        <f>$G58*'nutrient content'!U55</f>
        <v>9.0782797688407843E-2</v>
      </c>
      <c r="AG58" s="52">
        <f>$G58*'nutrient content'!V55</f>
        <v>0.23761164879875318</v>
      </c>
      <c r="AH58" s="52">
        <f>$G58*'nutrient content'!W55</f>
        <v>4.4359176827719615E-2</v>
      </c>
      <c r="AI58" s="52">
        <f>$G58*'nutrient content'!AB55</f>
        <v>1.8548511823429713E-2</v>
      </c>
      <c r="AJ58" s="52">
        <f>$G58*'nutrient content'!AC55</f>
        <v>0.11711922261922264</v>
      </c>
      <c r="AK58" s="52">
        <f>$G58*'nutrient content'!AD55</f>
        <v>0</v>
      </c>
      <c r="AL58" s="52">
        <f>$G58*'nutrient content'!AE55</f>
        <v>0</v>
      </c>
      <c r="AM58" s="52">
        <f>$G58*'nutrient content'!AF55</f>
        <v>3.7187818764089103E-3</v>
      </c>
      <c r="AN58" s="52">
        <f>$G58*'nutrient content'!AG55</f>
        <v>8.0200598425507252E-2</v>
      </c>
      <c r="AO58" s="52">
        <f>$G58*'nutrient content'!AH55</f>
        <v>0.38510997893238763</v>
      </c>
      <c r="AP58" s="52">
        <f>$G58*'nutrient content'!AI55</f>
        <v>0</v>
      </c>
      <c r="AQ58" s="52">
        <f>$G58*'nutrient content'!AJ55</f>
        <v>6.2231517555622383E-3</v>
      </c>
      <c r="AR58" s="52">
        <f>$G58*'nutrient content'!AK55</f>
        <v>2.2343850139581969E-2</v>
      </c>
      <c r="AS58" s="52">
        <f>$G58*'nutrient content'!AL55</f>
        <v>0</v>
      </c>
      <c r="AT58" s="52">
        <f>$G58*'nutrient content'!AM55</f>
        <v>5.4364252750816147E-2</v>
      </c>
      <c r="AU58" s="52">
        <f>$G58*'nutrient content'!AN55</f>
        <v>3.4148613961380386E-2</v>
      </c>
      <c r="AV58" s="52">
        <f>$G58*'nutrient content'!AO55</f>
        <v>0</v>
      </c>
    </row>
    <row r="59" spans="1:48" x14ac:dyDescent="0.2">
      <c r="A59" s="2" t="s">
        <v>49</v>
      </c>
      <c r="B59" s="52">
        <f>TFP!E70</f>
        <v>6.0758197095641462</v>
      </c>
      <c r="C59" s="110">
        <f>HLOOKUP(TFP!$C$14,cost!$C$6:$S$64,cost!$A60,FALSE)</f>
        <v>0.33093436483795413</v>
      </c>
      <c r="D59" s="110">
        <f t="shared" si="0"/>
        <v>18.359591372564896</v>
      </c>
      <c r="E59" s="52">
        <f t="shared" si="1"/>
        <v>4.0475970433913417</v>
      </c>
      <c r="F59" s="52">
        <f t="shared" si="2"/>
        <v>1.0118992608478354</v>
      </c>
      <c r="G59" s="52">
        <f t="shared" si="3"/>
        <v>0.60393392672910851</v>
      </c>
      <c r="H59" s="52">
        <f t="shared" si="4"/>
        <v>60.393392672910849</v>
      </c>
      <c r="I59" s="52">
        <f>calculations!G59*'nutrient content'!E56</f>
        <v>135.52778415561033</v>
      </c>
      <c r="J59" s="52">
        <f>$G59*'nutrient content'!X56</f>
        <v>4.1385587430886872</v>
      </c>
      <c r="K59" s="52">
        <f>$G59*'nutrient content'!Y56</f>
        <v>24.041312727144767</v>
      </c>
      <c r="L59" s="52">
        <f>$G59*'nutrient content'!Z56</f>
        <v>111.52614838622857</v>
      </c>
      <c r="M59" s="52">
        <f>$G59*'nutrient content'!AA56</f>
        <v>24.445246279353764</v>
      </c>
      <c r="N59" s="52">
        <f>$G59*'nutrient content'!B56</f>
        <v>16.314730691703726</v>
      </c>
      <c r="O59" s="52">
        <f>$G59*'nutrient content'!C56</f>
        <v>7.1776953189005468</v>
      </c>
      <c r="P59" s="52">
        <f>$G59*'nutrient content'!D56</f>
        <v>5.5102178036121587E-2</v>
      </c>
      <c r="Q59" s="52">
        <f>$G59*'nutrient content'!F56</f>
        <v>0.49970039100762947</v>
      </c>
      <c r="R59" s="52">
        <f>$G59*'nutrient content'!G56</f>
        <v>4.962693865644856</v>
      </c>
      <c r="S59" s="52">
        <f>$G59*'nutrient content'!H56</f>
        <v>0.34508534067739</v>
      </c>
      <c r="T59" s="52">
        <f>$G59*'nutrient content'!I56</f>
        <v>6.6539928645521558</v>
      </c>
      <c r="U59" s="52">
        <f>$G59*'nutrient content'!J56</f>
        <v>0.37736292515536518</v>
      </c>
      <c r="V59" s="52">
        <f>$G59*'nutrient content'!K56</f>
        <v>20.537922472578007</v>
      </c>
      <c r="W59" s="52">
        <f>$G59*'nutrient content'!L56</f>
        <v>96.676692482236049</v>
      </c>
      <c r="X59" s="52">
        <f>$G59*'nutrient content'!M56</f>
        <v>6.7965157814938532E-2</v>
      </c>
      <c r="Y59" s="52">
        <f>$G59*'nutrient content'!N56</f>
        <v>448.55786832507789</v>
      </c>
      <c r="Z59" s="52">
        <f>$G59*'nutrient content'!O56</f>
        <v>2.5603590646636389E-2</v>
      </c>
      <c r="AA59" s="52">
        <f>$G59*'nutrient content'!P56</f>
        <v>4.607013874832739E-2</v>
      </c>
      <c r="AB59" s="52">
        <f>$G59*'nutrient content'!Q56</f>
        <v>5.828617032590671E-2</v>
      </c>
      <c r="AC59" s="52">
        <f>$G59*'nutrient content'!R56</f>
        <v>4.133032963558068</v>
      </c>
      <c r="AD59" s="52">
        <f>$G59*'nutrient content'!S56</f>
        <v>1.2665218908324991</v>
      </c>
      <c r="AE59" s="52">
        <f>$G59*'nutrient content'!T56</f>
        <v>56.251059907084986</v>
      </c>
      <c r="AF59" s="52">
        <f>$G59*'nutrient content'!U56</f>
        <v>0.16231534554858881</v>
      </c>
      <c r="AG59" s="52">
        <f>$G59*'nutrient content'!V56</f>
        <v>40.539036390419966</v>
      </c>
      <c r="AH59" s="52">
        <f>$G59*'nutrient content'!W56</f>
        <v>5.2761036783402036</v>
      </c>
      <c r="AI59" s="52">
        <f>$G59*'nutrient content'!AB56</f>
        <v>5.3356578202587115E-2</v>
      </c>
      <c r="AJ59" s="52">
        <f>$G59*'nutrient content'!AC56</f>
        <v>0.15429601774105456</v>
      </c>
      <c r="AK59" s="52">
        <f>$G59*'nutrient content'!AD56</f>
        <v>7.1175385490693547E-4</v>
      </c>
      <c r="AL59" s="52">
        <f>$G59*'nutrient content'!AE56</f>
        <v>1.964477604490996E-2</v>
      </c>
      <c r="AM59" s="52">
        <f>$G59*'nutrient content'!AF56</f>
        <v>2.4925859197349735E-2</v>
      </c>
      <c r="AN59" s="52">
        <f>$G59*'nutrient content'!AG56</f>
        <v>9.193980050696247</v>
      </c>
      <c r="AO59" s="52">
        <f>$G59*'nutrient content'!AH56</f>
        <v>31.693155613106139</v>
      </c>
      <c r="AP59" s="52">
        <f>$G59*'nutrient content'!AI56</f>
        <v>2.1823397623171374E-7</v>
      </c>
      <c r="AQ59" s="52">
        <f>$G59*'nutrient content'!AJ56</f>
        <v>2.2540200419163495E-4</v>
      </c>
      <c r="AR59" s="52">
        <f>$G59*'nutrient content'!AK56</f>
        <v>0</v>
      </c>
      <c r="AS59" s="52">
        <f>$G59*'nutrient content'!AL56</f>
        <v>0</v>
      </c>
      <c r="AT59" s="52">
        <f>$G59*'nutrient content'!AM56</f>
        <v>0</v>
      </c>
      <c r="AU59" s="52">
        <f>$G59*'nutrient content'!AN56</f>
        <v>0.15408869895122079</v>
      </c>
      <c r="AV59" s="52">
        <f>$G59*'nutrient content'!AO56</f>
        <v>7.1175385490693547E-4</v>
      </c>
    </row>
    <row r="60" spans="1:48" x14ac:dyDescent="0.2">
      <c r="A60" s="2" t="s">
        <v>50</v>
      </c>
      <c r="B60" s="52">
        <f>TFP!E71</f>
        <v>0.76123885178113659</v>
      </c>
      <c r="C60" s="110">
        <f>HLOOKUP(TFP!$C$14,cost!$C$6:$S$64,cost!$A61,FALSE)</f>
        <v>5.7188527867612866E-2</v>
      </c>
      <c r="D60" s="110">
        <f t="shared" si="0"/>
        <v>13.311041220423565</v>
      </c>
      <c r="E60" s="52">
        <f t="shared" si="1"/>
        <v>2.9345822570298195</v>
      </c>
      <c r="F60" s="52">
        <f t="shared" si="2"/>
        <v>0.73364556425745486</v>
      </c>
      <c r="G60" s="52">
        <f t="shared" si="3"/>
        <v>0.43786319804024887</v>
      </c>
      <c r="H60" s="52">
        <f t="shared" si="4"/>
        <v>43.786319804024885</v>
      </c>
      <c r="I60" s="52">
        <f>calculations!G60*'nutrient content'!E57</f>
        <v>3.022700788652545</v>
      </c>
      <c r="J60" s="52">
        <f>$G60*'nutrient content'!X57</f>
        <v>0.16040969739581473</v>
      </c>
      <c r="K60" s="52">
        <f>$G60*'nutrient content'!Y57</f>
        <v>2.1521194550944869</v>
      </c>
      <c r="L60" s="52">
        <f>$G60*'nutrient content'!Z57</f>
        <v>1.52407728445401</v>
      </c>
      <c r="M60" s="52">
        <f>$G60*'nutrient content'!AA57</f>
        <v>2.6546607964184007E-2</v>
      </c>
      <c r="N60" s="52">
        <f>$G60*'nutrient content'!B57</f>
        <v>0.59034834513844459</v>
      </c>
      <c r="O60" s="52">
        <f>$G60*'nutrient content'!C57</f>
        <v>1.1209221598314726E-2</v>
      </c>
      <c r="P60" s="52">
        <f>$G60*'nutrient content'!D57</f>
        <v>2.3070951594445464E-3</v>
      </c>
      <c r="Q60" s="52">
        <f>$G60*'nutrient content'!F57</f>
        <v>7.8462814303510741E-4</v>
      </c>
      <c r="R60" s="52">
        <f>$G60*'nutrient content'!G57</f>
        <v>1.1243980530707625</v>
      </c>
      <c r="S60" s="52">
        <f>$G60*'nutrient content'!H57</f>
        <v>8.2427724218566232E-3</v>
      </c>
      <c r="T60" s="52">
        <f>$G60*'nutrient content'!I57</f>
        <v>1.1260076436767084</v>
      </c>
      <c r="U60" s="52">
        <f>$G60*'nutrient content'!J57</f>
        <v>1.4442200672788823E-2</v>
      </c>
      <c r="V60" s="52">
        <f>$G60*'nutrient content'!K57</f>
        <v>1.0664867604767654</v>
      </c>
      <c r="W60" s="52">
        <f>$G60*'nutrient content'!L57</f>
        <v>17.611345397733377</v>
      </c>
      <c r="X60" s="52">
        <f>$G60*'nutrient content'!M57</f>
        <v>1.2920207166274183E-2</v>
      </c>
      <c r="Y60" s="52">
        <f>$G60*'nutrient content'!N57</f>
        <v>0.90743761076368623</v>
      </c>
      <c r="Z60" s="52">
        <f>$G60*'nutrient content'!O57</f>
        <v>2.1160934361755308E-4</v>
      </c>
      <c r="AA60" s="52">
        <f>$G60*'nutrient content'!P57</f>
        <v>4.3611993207693273E-4</v>
      </c>
      <c r="AB60" s="52">
        <f>$G60*'nutrient content'!Q57</f>
        <v>3.5366024581010952E-4</v>
      </c>
      <c r="AC60" s="52">
        <f>$G60*'nutrient content'!R57</f>
        <v>4.2337345228758689E-4</v>
      </c>
      <c r="AD60" s="52">
        <f>$G60*'nutrient content'!S57</f>
        <v>4.480421508187977E-3</v>
      </c>
      <c r="AE60" s="52">
        <f>$G60*'nutrient content'!T57</f>
        <v>3.856595346896511E-2</v>
      </c>
      <c r="AF60" s="52">
        <f>$G60*'nutrient content'!U57</f>
        <v>6.4513342285776112E-3</v>
      </c>
      <c r="AG60" s="52">
        <f>$G60*'nutrient content'!V57</f>
        <v>3.4174524874009612E-3</v>
      </c>
      <c r="AH60" s="52">
        <f>$G60*'nutrient content'!W57</f>
        <v>7.4512249605708958E-4</v>
      </c>
      <c r="AI60" s="52">
        <f>$G60*'nutrient content'!AB57</f>
        <v>2.282620929975571E-4</v>
      </c>
      <c r="AJ60" s="52">
        <f>$G60*'nutrient content'!AC57</f>
        <v>0</v>
      </c>
      <c r="AK60" s="52">
        <f>$G60*'nutrient content'!AD57</f>
        <v>0</v>
      </c>
      <c r="AL60" s="52">
        <f>$G60*'nutrient content'!AE57</f>
        <v>4.9977081959457729E-4</v>
      </c>
      <c r="AM60" s="52">
        <f>$G60*'nutrient content'!AF57</f>
        <v>0</v>
      </c>
      <c r="AN60" s="52">
        <f>$G60*'nutrient content'!AG57</f>
        <v>6.7732883537135539E-5</v>
      </c>
      <c r="AO60" s="52">
        <f>$G60*'nutrient content'!AH57</f>
        <v>1.788752996738179</v>
      </c>
      <c r="AP60" s="52">
        <f>$G60*'nutrient content'!AI57</f>
        <v>9.6615464201918653E-5</v>
      </c>
      <c r="AQ60" s="52">
        <f>$G60*'nutrient content'!AJ57</f>
        <v>0</v>
      </c>
      <c r="AR60" s="52">
        <f>$G60*'nutrient content'!AK57</f>
        <v>0</v>
      </c>
      <c r="AS60" s="52">
        <f>$G60*'nutrient content'!AL57</f>
        <v>0</v>
      </c>
      <c r="AT60" s="52">
        <f>$G60*'nutrient content'!AM57</f>
        <v>0</v>
      </c>
      <c r="AU60" s="52">
        <f>$G60*'nutrient content'!AN57</f>
        <v>0</v>
      </c>
      <c r="AV60" s="52">
        <f>$G60*'nutrient content'!AO57</f>
        <v>0</v>
      </c>
    </row>
    <row r="61" spans="1:48" x14ac:dyDescent="0.2">
      <c r="A61" s="2" t="s">
        <v>51</v>
      </c>
      <c r="B61" s="52">
        <f>TFP!E72</f>
        <v>1.6225112079566048E-2</v>
      </c>
      <c r="C61" s="110">
        <f>HLOOKUP(TFP!$C$14,cost!$C$6:$S$64,cost!$A62,FALSE)</f>
        <v>9.6440480345622678E-2</v>
      </c>
      <c r="D61" s="110">
        <f t="shared" si="0"/>
        <v>0.16823964398993671</v>
      </c>
      <c r="E61" s="52">
        <f t="shared" si="1"/>
        <v>3.709049247209615E-2</v>
      </c>
      <c r="F61" s="52">
        <f t="shared" si="2"/>
        <v>9.2726231180240374E-3</v>
      </c>
      <c r="G61" s="52">
        <f t="shared" si="3"/>
        <v>5.5341988154584444E-3</v>
      </c>
      <c r="H61" s="52">
        <f t="shared" si="4"/>
        <v>0.55341988154584443</v>
      </c>
      <c r="I61" s="52">
        <f>calculations!G61*'nutrient content'!E58</f>
        <v>0.23092933444361388</v>
      </c>
      <c r="J61" s="52">
        <f>$G61*'nutrient content'!X58</f>
        <v>7.9041113950382991E-4</v>
      </c>
      <c r="K61" s="52">
        <f>$G61*'nutrient content'!Y58</f>
        <v>0.23690239321033219</v>
      </c>
      <c r="L61" s="52">
        <f>$G61*'nutrient content'!Z58</f>
        <v>4.0629082085299182E-4</v>
      </c>
      <c r="M61" s="52">
        <f>$G61*'nutrient content'!AA58</f>
        <v>1.6200283960064333E-4</v>
      </c>
      <c r="N61" s="52">
        <f>$G61*'nutrient content'!B58</f>
        <v>2.7121540949330395E-2</v>
      </c>
      <c r="O61" s="52">
        <f>$G61*'nutrient content'!C58</f>
        <v>5.3659556201231403E-5</v>
      </c>
      <c r="P61" s="52">
        <f>$G61*'nutrient content'!D58</f>
        <v>6.5976310269427968E-5</v>
      </c>
      <c r="Q61" s="52">
        <f>$G61*'nutrient content'!F58</f>
        <v>6.5593592488315334E-5</v>
      </c>
      <c r="R61" s="52">
        <f>$G61*'nutrient content'!G58</f>
        <v>2.3464211238537528E-3</v>
      </c>
      <c r="S61" s="52">
        <f>$G61*'nutrient content'!H58</f>
        <v>2.9213460986686192E-4</v>
      </c>
      <c r="T61" s="52">
        <f>$G61*'nutrient content'!I58</f>
        <v>7.0467853765436754E-3</v>
      </c>
      <c r="U61" s="52">
        <f>$G61*'nutrient content'!J58</f>
        <v>9.3915326515670117E-5</v>
      </c>
      <c r="V61" s="52">
        <f>$G61*'nutrient content'!K58</f>
        <v>3.7019746761564679E-2</v>
      </c>
      <c r="W61" s="52">
        <f>$G61*'nutrient content'!L58</f>
        <v>3.1739881907327613E-2</v>
      </c>
      <c r="X61" s="52">
        <f>$G61*'nutrient content'!M58</f>
        <v>1.7746709000789579E-5</v>
      </c>
      <c r="Y61" s="52">
        <f>$G61*'nutrient content'!N58</f>
        <v>4.5699302406635132E-2</v>
      </c>
      <c r="Z61" s="52">
        <f>$G61*'nutrient content'!O58</f>
        <v>2.4473992214320323E-5</v>
      </c>
      <c r="AA61" s="52">
        <f>$G61*'nutrient content'!P58</f>
        <v>9.1120569271647273E-6</v>
      </c>
      <c r="AB61" s="52">
        <f>$G61*'nutrient content'!Q58</f>
        <v>1.8890839478637765E-5</v>
      </c>
      <c r="AC61" s="52">
        <f>$G61*'nutrient content'!R58</f>
        <v>1.9255305841036234E-2</v>
      </c>
      <c r="AD61" s="52">
        <f>$G61*'nutrient content'!S58</f>
        <v>3.0102236428473273E-5</v>
      </c>
      <c r="AE61" s="52">
        <f>$G61*'nutrient content'!T58</f>
        <v>4.5477324958459499E-3</v>
      </c>
      <c r="AF61" s="52">
        <f>$G61*'nutrient content'!U58</f>
        <v>1.3473239229039275E-4</v>
      </c>
      <c r="AG61" s="52">
        <f>$G61*'nutrient content'!V58</f>
        <v>5.6777909349852453E-5</v>
      </c>
      <c r="AH61" s="52">
        <f>$G61*'nutrient content'!W58</f>
        <v>2.4795893925599524E-5</v>
      </c>
      <c r="AI61" s="52">
        <f>$G61*'nutrient content'!AB58</f>
        <v>2.1454391404884508E-6</v>
      </c>
      <c r="AJ61" s="52">
        <f>$G61*'nutrient content'!AC58</f>
        <v>1.312902577623682E-7</v>
      </c>
      <c r="AK61" s="52">
        <f>$G61*'nutrient content'!AD58</f>
        <v>7.5562451281596421E-5</v>
      </c>
      <c r="AL61" s="52">
        <f>$G61*'nutrient content'!AE58</f>
        <v>5.9370780161304164E-7</v>
      </c>
      <c r="AM61" s="52">
        <f>$G61*'nutrient content'!AF58</f>
        <v>5.3756625342134149E-6</v>
      </c>
      <c r="AN61" s="52">
        <f>$G61*'nutrient content'!AG58</f>
        <v>3.3902913968711193E-6</v>
      </c>
      <c r="AO61" s="52">
        <f>$G61*'nutrient content'!AH58</f>
        <v>0.2176837736063417</v>
      </c>
      <c r="AP61" s="52">
        <f>$G61*'nutrient content'!AI58</f>
        <v>0</v>
      </c>
      <c r="AQ61" s="52">
        <f>$G61*'nutrient content'!AJ58</f>
        <v>0</v>
      </c>
      <c r="AR61" s="52">
        <f>$G61*'nutrient content'!AK58</f>
        <v>1.312902577623682E-7</v>
      </c>
      <c r="AS61" s="52">
        <f>$G61*'nutrient content'!AL58</f>
        <v>0</v>
      </c>
      <c r="AT61" s="52">
        <f>$G61*'nutrient content'!AM58</f>
        <v>0</v>
      </c>
      <c r="AU61" s="52">
        <f>$G61*'nutrient content'!AN58</f>
        <v>0</v>
      </c>
      <c r="AV61" s="52">
        <f>$G61*'nutrient content'!AO58</f>
        <v>7.5562451281596421E-5</v>
      </c>
    </row>
    <row r="62" spans="1:48" x14ac:dyDescent="0.2">
      <c r="A62" s="3" t="s">
        <v>193</v>
      </c>
      <c r="B62" s="52">
        <f>TFP!E73</f>
        <v>1.1982548878847473E-2</v>
      </c>
      <c r="C62" s="110">
        <f>HLOOKUP(TFP!$C$14,cost!$C$6:$S$64,cost!$A63,FALSE)</f>
        <v>9.1322876697916916E-2</v>
      </c>
      <c r="D62" s="110">
        <f t="shared" si="0"/>
        <v>0.1312108128008718</v>
      </c>
      <c r="E62" s="52">
        <f t="shared" si="1"/>
        <v>2.892703258893875E-2</v>
      </c>
      <c r="F62" s="52">
        <f t="shared" si="2"/>
        <v>7.2317581472346876E-3</v>
      </c>
      <c r="G62" s="52">
        <f t="shared" si="3"/>
        <v>4.3161451579234143E-3</v>
      </c>
      <c r="H62" s="52">
        <f t="shared" si="4"/>
        <v>0.43161451579234145</v>
      </c>
      <c r="I62" s="52">
        <f>calculations!G62*'nutrient content'!E59</f>
        <v>2.5366911258745527E-2</v>
      </c>
      <c r="J62" s="52">
        <f>$G62*'nutrient content'!X59</f>
        <v>1.4759944099011506E-3</v>
      </c>
      <c r="K62" s="52">
        <f>$G62*'nutrient content'!Y59</f>
        <v>2.3257873575388208E-2</v>
      </c>
      <c r="L62" s="52">
        <f>$G62*'nutrient content'!Z59</f>
        <v>9.1229376250550413E-5</v>
      </c>
      <c r="M62" s="52">
        <f>$G62*'nutrient content'!AA59</f>
        <v>1.5226201119296045E-5</v>
      </c>
      <c r="N62" s="52">
        <f>$G62*'nutrient content'!B59</f>
        <v>1.5710334166048764E-2</v>
      </c>
      <c r="O62" s="52">
        <f>$G62*'nutrient content'!C59</f>
        <v>0</v>
      </c>
      <c r="P62" s="52">
        <f>$G62*'nutrient content'!D59</f>
        <v>5.6348451698958419E-5</v>
      </c>
      <c r="Q62" s="52">
        <f>$G62*'nutrient content'!F59</f>
        <v>2.7477953016199049E-5</v>
      </c>
      <c r="R62" s="52">
        <f>$G62*'nutrient content'!G59</f>
        <v>1.1641487473493897E-3</v>
      </c>
      <c r="S62" s="52">
        <f>$G62*'nutrient content'!H59</f>
        <v>1.5237677257133437E-4</v>
      </c>
      <c r="T62" s="52">
        <f>$G62*'nutrient content'!I59</f>
        <v>5.4786364164212476E-3</v>
      </c>
      <c r="U62" s="52">
        <f>$G62*'nutrient content'!J59</f>
        <v>1.0041394174045506E-4</v>
      </c>
      <c r="V62" s="52">
        <f>$G62*'nutrient content'!K59</f>
        <v>3.7460506087728357E-2</v>
      </c>
      <c r="W62" s="52">
        <f>$G62*'nutrient content'!L59</f>
        <v>3.391672108828326E-2</v>
      </c>
      <c r="X62" s="52">
        <f>$G62*'nutrient content'!M59</f>
        <v>6.4592400062810795E-5</v>
      </c>
      <c r="Y62" s="52">
        <f>$G62*'nutrient content'!N59</f>
        <v>4.5116988077724414E-2</v>
      </c>
      <c r="Z62" s="52">
        <f>$G62*'nutrient content'!O59</f>
        <v>3.6770748473308921E-5</v>
      </c>
      <c r="AA62" s="52">
        <f>$G62*'nutrient content'!P59</f>
        <v>1.5683575726427266E-6</v>
      </c>
      <c r="AB62" s="52">
        <f>$G62*'nutrient content'!Q59</f>
        <v>8.0100914251203086E-6</v>
      </c>
      <c r="AC62" s="52">
        <f>$G62*'nutrient content'!R59</f>
        <v>8.9773002794858742E-3</v>
      </c>
      <c r="AD62" s="52">
        <f>$G62*'nutrient content'!S59</f>
        <v>7.0896113788004715E-5</v>
      </c>
      <c r="AE62" s="52">
        <f>$G62*'nutrient content'!T59</f>
        <v>1.5968492355976152E-4</v>
      </c>
      <c r="AF62" s="52">
        <f>$G62*'nutrient content'!U59</f>
        <v>8.5112154567315443E-5</v>
      </c>
      <c r="AG62" s="52">
        <f>$G62*'nutrient content'!V59</f>
        <v>3.7406789572774411E-5</v>
      </c>
      <c r="AH62" s="52">
        <f>$G62*'nutrient content'!W59</f>
        <v>7.5589727426207358E-6</v>
      </c>
      <c r="AI62" s="52">
        <f>$G62*'nutrient content'!AB59</f>
        <v>2.7722473010197726E-6</v>
      </c>
      <c r="AJ62" s="52">
        <f>$G62*'nutrient content'!AC59</f>
        <v>0</v>
      </c>
      <c r="AK62" s="52">
        <f>$G62*'nutrient content'!AD59</f>
        <v>4.7965440817609289E-5</v>
      </c>
      <c r="AL62" s="52">
        <f>$G62*'nutrient content'!AE59</f>
        <v>0</v>
      </c>
      <c r="AM62" s="52">
        <f>$G62*'nutrient content'!AF59</f>
        <v>0</v>
      </c>
      <c r="AN62" s="52">
        <f>$G62*'nutrient content'!AG59</f>
        <v>0</v>
      </c>
      <c r="AO62" s="52">
        <f>$G62*'nutrient content'!AH59</f>
        <v>1.1482300546352792E-2</v>
      </c>
      <c r="AP62" s="52">
        <f>$G62*'nutrient content'!AI59</f>
        <v>0</v>
      </c>
      <c r="AQ62" s="52">
        <f>$G62*'nutrient content'!AJ59</f>
        <v>0</v>
      </c>
      <c r="AR62" s="52">
        <f>$G62*'nutrient content'!AK59</f>
        <v>0</v>
      </c>
      <c r="AS62" s="52">
        <f>$G62*'nutrient content'!AL59</f>
        <v>0</v>
      </c>
      <c r="AT62" s="52">
        <f>$G62*'nutrient content'!AM59</f>
        <v>0</v>
      </c>
      <c r="AU62" s="52">
        <f>$G62*'nutrient content'!AN59</f>
        <v>0</v>
      </c>
      <c r="AV62" s="52">
        <f>$G62*'nutrient content'!AO59</f>
        <v>4.7965440817609289E-5</v>
      </c>
    </row>
    <row r="63" spans="1:48" x14ac:dyDescent="0.2">
      <c r="A63" s="2" t="s">
        <v>326</v>
      </c>
      <c r="B63" s="52">
        <f>TFP!E74</f>
        <v>5.6029086712477312E-3</v>
      </c>
      <c r="C63" s="110">
        <f>HLOOKUP(TFP!$C$14,cost!$C$6:$S$64,cost!$A64,FALSE)</f>
        <v>0.70981929034930691</v>
      </c>
      <c r="D63" s="110">
        <f t="shared" si="0"/>
        <v>7.893429704468163E-3</v>
      </c>
      <c r="E63" s="52">
        <f t="shared" si="1"/>
        <v>1.7402033675850428E-3</v>
      </c>
      <c r="F63" s="52">
        <f t="shared" si="2"/>
        <v>4.3505084189626069E-4</v>
      </c>
      <c r="G63" s="52">
        <f t="shared" si="3"/>
        <v>2.5965229291013693E-4</v>
      </c>
      <c r="H63" s="52">
        <f t="shared" si="4"/>
        <v>2.5965229291013692E-2</v>
      </c>
      <c r="I63" s="52">
        <f>calculations!G63*'nutrient content'!E60</f>
        <v>8.2724826821509487E-2</v>
      </c>
      <c r="J63" s="52">
        <f>$G63*'nutrient content'!X60</f>
        <v>1.9687695668859861E-3</v>
      </c>
      <c r="K63" s="52">
        <f>$G63*'nutrient content'!Y60</f>
        <v>6.9235967459230913E-2</v>
      </c>
      <c r="L63" s="52">
        <f>$G63*'nutrient content'!Z60</f>
        <v>1.4482035526556122E-2</v>
      </c>
      <c r="M63" s="52">
        <f>$G63*'nutrient content'!AA60</f>
        <v>6.6146762116355987E-3</v>
      </c>
      <c r="N63" s="52">
        <f>$G63*'nutrient content'!B60</f>
        <v>7.989807555500451E-3</v>
      </c>
      <c r="O63" s="52">
        <f>$G63*'nutrient content'!C60</f>
        <v>6.0600218154862175E-4</v>
      </c>
      <c r="P63" s="52">
        <f>$G63*'nutrient content'!D60</f>
        <v>2.942871250334894E-5</v>
      </c>
      <c r="Q63" s="52">
        <f>$G63*'nutrient content'!F60</f>
        <v>2.4543954583924914E-4</v>
      </c>
      <c r="R63" s="52">
        <f>$G63*'nutrient content'!G60</f>
        <v>1.633685513084897E-3</v>
      </c>
      <c r="S63" s="52">
        <f>$G63*'nutrient content'!H60</f>
        <v>1.3007792166411591E-4</v>
      </c>
      <c r="T63" s="52">
        <f>$G63*'nutrient content'!I60</f>
        <v>4.4393976851845951E-3</v>
      </c>
      <c r="U63" s="52">
        <f>$G63*'nutrient content'!J60</f>
        <v>1.0755249229307409E-4</v>
      </c>
      <c r="V63" s="52">
        <f>$G63*'nutrient content'!K60</f>
        <v>1.1861595334624164E-2</v>
      </c>
      <c r="W63" s="52">
        <f>$G63*'nutrient content'!L60</f>
        <v>3.013914871374886E-2</v>
      </c>
      <c r="X63" s="52">
        <f>$G63*'nutrient content'!M60</f>
        <v>1.5478778181154752E-5</v>
      </c>
      <c r="Y63" s="52">
        <f>$G63*'nutrient content'!N60</f>
        <v>1.809885671575848E-2</v>
      </c>
      <c r="Z63" s="52">
        <f>$G63*'nutrient content'!O60</f>
        <v>6.7417066822923573E-6</v>
      </c>
      <c r="AA63" s="52">
        <f>$G63*'nutrient content'!P60</f>
        <v>1.924586882499536E-5</v>
      </c>
      <c r="AB63" s="52">
        <f>$G63*'nutrient content'!Q60</f>
        <v>6.9260835371694222E-6</v>
      </c>
      <c r="AC63" s="52">
        <f>$G63*'nutrient content'!R60</f>
        <v>9.9165038239650482E-4</v>
      </c>
      <c r="AD63" s="52">
        <f>$G63*'nutrient content'!S60</f>
        <v>1.0891937394771662E-4</v>
      </c>
      <c r="AE63" s="52">
        <f>$G63*'nutrient content'!T60</f>
        <v>1.7315852191739211E-3</v>
      </c>
      <c r="AF63" s="52">
        <f>$G63*'nutrient content'!U60</f>
        <v>1.2076885245213452E-4</v>
      </c>
      <c r="AG63" s="52">
        <f>$G63*'nutrient content'!V60</f>
        <v>1.2185481387991734E-3</v>
      </c>
      <c r="AH63" s="52">
        <f>$G63*'nutrient content'!W60</f>
        <v>4.7151961335602502E-5</v>
      </c>
      <c r="AI63" s="52">
        <f>$G63*'nutrient content'!AB60</f>
        <v>3.6930409934105257E-5</v>
      </c>
      <c r="AJ63" s="52">
        <f>$G63*'nutrient content'!AC60</f>
        <v>1.508694282648361E-8</v>
      </c>
      <c r="AK63" s="52">
        <f>$G63*'nutrient content'!AD60</f>
        <v>9.3393167807693304E-6</v>
      </c>
      <c r="AL63" s="52">
        <f>$G63*'nutrient content'!AE60</f>
        <v>1.40012387654013E-5</v>
      </c>
      <c r="AM63" s="52">
        <f>$G63*'nutrient content'!AF60</f>
        <v>4.1325649718860244E-5</v>
      </c>
      <c r="AN63" s="52">
        <f>$G63*'nutrient content'!AG60</f>
        <v>8.2634349780130842E-4</v>
      </c>
      <c r="AO63" s="52">
        <f>$G63*'nutrient content'!AH60</f>
        <v>5.8504223420532242E-2</v>
      </c>
      <c r="AP63" s="52">
        <f>$G63*'nutrient content'!AI60</f>
        <v>1.5020334735699413E-6</v>
      </c>
      <c r="AQ63" s="52">
        <f>$G63*'nutrient content'!AJ60</f>
        <v>0</v>
      </c>
      <c r="AR63" s="52">
        <f>$G63*'nutrient content'!AK60</f>
        <v>3.270595997349594E-9</v>
      </c>
      <c r="AS63" s="52">
        <f>$G63*'nutrient content'!AL60</f>
        <v>0</v>
      </c>
      <c r="AT63" s="52">
        <f>$G63*'nutrient content'!AM60</f>
        <v>0</v>
      </c>
      <c r="AU63" s="52">
        <f>$G63*'nutrient content'!AN60</f>
        <v>1.1816346829134017E-8</v>
      </c>
      <c r="AV63" s="52">
        <f>$G63*'nutrient content'!AO60</f>
        <v>9.3393167807693304E-6</v>
      </c>
    </row>
    <row r="64" spans="1:48" x14ac:dyDescent="0.2">
      <c r="A64" s="51" t="s">
        <v>500</v>
      </c>
      <c r="B64" s="70">
        <f>SUM(TFP!E17:E74)</f>
        <v>167.19999999999985</v>
      </c>
      <c r="C64" s="70"/>
      <c r="D64" s="72">
        <f t="shared" ref="D64:AV64" si="5">SUM(D6:D63)</f>
        <v>681.87782992302982</v>
      </c>
      <c r="E64" s="72">
        <f t="shared" si="5"/>
        <v>150.32832879248238</v>
      </c>
      <c r="F64" s="72">
        <f t="shared" si="5"/>
        <v>37.582082198120595</v>
      </c>
      <c r="G64" s="72">
        <f t="shared" si="5"/>
        <v>22.430191773783875</v>
      </c>
      <c r="H64" s="72">
        <f t="shared" si="5"/>
        <v>2243.0191773783877</v>
      </c>
      <c r="I64" s="72">
        <f t="shared" si="5"/>
        <v>2298.4500000000003</v>
      </c>
      <c r="J64" s="72">
        <f t="shared" si="5"/>
        <v>389.6436909538005</v>
      </c>
      <c r="K64" s="72">
        <f t="shared" si="5"/>
        <v>1239.4406112053466</v>
      </c>
      <c r="L64" s="72">
        <f t="shared" si="5"/>
        <v>726.55199557364983</v>
      </c>
      <c r="M64" s="72">
        <f t="shared" si="5"/>
        <v>196.24523527486224</v>
      </c>
      <c r="N64" s="72">
        <f t="shared" si="5"/>
        <v>1314.7069511920988</v>
      </c>
      <c r="O64" s="72">
        <f t="shared" si="5"/>
        <v>223.04975912096299</v>
      </c>
      <c r="P64" s="72">
        <f t="shared" si="5"/>
        <v>1.9830991579303157</v>
      </c>
      <c r="Q64" s="72">
        <f t="shared" si="5"/>
        <v>32.679885192891255</v>
      </c>
      <c r="R64" s="72">
        <f t="shared" si="5"/>
        <v>669.60876161409112</v>
      </c>
      <c r="S64" s="72">
        <f t="shared" si="5"/>
        <v>18.900000000000041</v>
      </c>
      <c r="T64" s="72">
        <f t="shared" si="5"/>
        <v>503.03241986621487</v>
      </c>
      <c r="U64" s="72">
        <f t="shared" si="5"/>
        <v>27.633522199340138</v>
      </c>
      <c r="V64" s="72">
        <f t="shared" si="5"/>
        <v>1907.442009988948</v>
      </c>
      <c r="W64" s="72">
        <f t="shared" si="5"/>
        <v>4266.113008081622</v>
      </c>
      <c r="X64" s="72">
        <f t="shared" si="5"/>
        <v>2.988797708744396</v>
      </c>
      <c r="Y64" s="72">
        <f t="shared" si="5"/>
        <v>2807.7825145827132</v>
      </c>
      <c r="Z64" s="72">
        <f t="shared" si="5"/>
        <v>2.0469841903289758</v>
      </c>
      <c r="AA64" s="72">
        <f t="shared" si="5"/>
        <v>7.2250058038892746</v>
      </c>
      <c r="AB64" s="72">
        <f t="shared" si="5"/>
        <v>3.0698391316874676</v>
      </c>
      <c r="AC64" s="72">
        <f t="shared" si="5"/>
        <v>104.53544403205642</v>
      </c>
      <c r="AD64" s="72">
        <f t="shared" si="5"/>
        <v>11.654999999999998</v>
      </c>
      <c r="AE64" s="72">
        <f t="shared" si="5"/>
        <v>1524.152568957338</v>
      </c>
      <c r="AF64" s="72">
        <f t="shared" si="5"/>
        <v>16.024153387237693</v>
      </c>
      <c r="AG64" s="72">
        <f t="shared" si="5"/>
        <v>182.21645270315491</v>
      </c>
      <c r="AH64" s="72">
        <f t="shared" si="5"/>
        <v>16.768805132506632</v>
      </c>
      <c r="AI64" s="72">
        <f t="shared" si="5"/>
        <v>7.3500000000000236</v>
      </c>
      <c r="AJ64" s="72">
        <f t="shared" si="5"/>
        <v>3.3701420126866006</v>
      </c>
      <c r="AK64" s="72">
        <f t="shared" si="5"/>
        <v>2.100000000000009</v>
      </c>
      <c r="AL64" s="72">
        <f t="shared" si="5"/>
        <v>3.1499999999999813</v>
      </c>
      <c r="AM64" s="72">
        <f t="shared" si="5"/>
        <v>6.2969291158767682</v>
      </c>
      <c r="AN64" s="72">
        <f t="shared" si="5"/>
        <v>30.450000000000021</v>
      </c>
      <c r="AO64" s="72">
        <f t="shared" si="5"/>
        <v>304.49999999999955</v>
      </c>
      <c r="AP64" s="72">
        <f t="shared" si="5"/>
        <v>3.675000000000018</v>
      </c>
      <c r="AQ64" s="72">
        <f t="shared" si="5"/>
        <v>0.44999999999999879</v>
      </c>
      <c r="AR64" s="72">
        <f t="shared" si="5"/>
        <v>0.52101117766362548</v>
      </c>
      <c r="AS64" s="72">
        <f t="shared" si="5"/>
        <v>0.45076772103080132</v>
      </c>
      <c r="AT64" s="72">
        <f t="shared" si="5"/>
        <v>0.8999999999999998</v>
      </c>
      <c r="AU64" s="72">
        <f t="shared" si="5"/>
        <v>1.0499999999999987</v>
      </c>
      <c r="AV64" s="72">
        <f t="shared" si="5"/>
        <v>1.9802299787400457</v>
      </c>
    </row>
    <row r="65" spans="1:48" x14ac:dyDescent="0.2">
      <c r="A65" s="2" t="s">
        <v>303</v>
      </c>
      <c r="B65" s="71">
        <f>VLOOKUP(TFP!$C$14,'cost constraint'!$A$5:$C$21,3,FALSE)*30.4</f>
        <v>167.2</v>
      </c>
      <c r="C65" s="71"/>
      <c r="I65" s="69">
        <f>VLOOKUP(TFP!$C$14,'lower constraints'!$A$5:$AU$21,5,FALSE)*1.05</f>
        <v>2310</v>
      </c>
      <c r="J65" s="71">
        <f>$I$64*VLOOKUP(TFP!$C$14,'lower constraints'!$A$5:$AU$21,44,FALSE)</f>
        <v>229.84500000000003</v>
      </c>
      <c r="K65" s="71">
        <f>$I$64*VLOOKUP(TFP!$C$14,'lower constraints'!$A$5:$AU$21,45,FALSE)</f>
        <v>1034.3025000000002</v>
      </c>
      <c r="L65" s="71">
        <f>$I$64*VLOOKUP(TFP!$C$14,'lower constraints'!$A$5:$AU$21,46,FALSE)</f>
        <v>459.69000000000005</v>
      </c>
      <c r="M65" s="71">
        <f>$I$64*VLOOKUP(TFP!$C$14,'lower constraints'!$A$5:$AU$21,47,FALSE)</f>
        <v>0</v>
      </c>
      <c r="N65" s="52">
        <f>VLOOKUP(TFP!$C$14,'lower constraints'!$A$5:$AU$21,2,FALSE)</f>
        <v>1000</v>
      </c>
      <c r="O65" s="52">
        <f>VLOOKUP(TFP!$C$14,'lower constraints'!$A$5:$AU$21,3,FALSE)</f>
        <v>0</v>
      </c>
      <c r="P65" s="52">
        <f>VLOOKUP(TFP!$C$14,'lower constraints'!$A$5:$AU$21,4,FALSE)</f>
        <v>0.9</v>
      </c>
      <c r="Q65" s="52">
        <f>VLOOKUP(TFP!$C$14,'lower constraints'!$A$5:$AU$21,6,FALSE)</f>
        <v>30.8</v>
      </c>
      <c r="R65" s="52">
        <f>VLOOKUP(TFP!$C$14,'lower constraints'!$A$5:$AU$21,7,FALSE)</f>
        <v>400</v>
      </c>
      <c r="S65" s="52">
        <f>VLOOKUP(TFP!$C$14,'lower constraints'!$A$5:$AU$21,8,FALSE)</f>
        <v>18</v>
      </c>
      <c r="T65" s="52">
        <f>VLOOKUP(TFP!$C$14,'lower constraints'!$A$5:$AU$21,9,FALSE)</f>
        <v>320</v>
      </c>
      <c r="U65" s="52">
        <f>VLOOKUP(TFP!$C$14,'lower constraints'!$A$5:$AU$21,10,FALSE)</f>
        <v>14</v>
      </c>
      <c r="V65" s="52">
        <f>VLOOKUP(TFP!$C$14,'lower constraints'!$A$5:$AU$21,11,FALSE)</f>
        <v>700</v>
      </c>
      <c r="W65" s="52">
        <f>VLOOKUP(TFP!$C$14,'lower constraints'!$A$5:$AU$21,12,FALSE)</f>
        <v>4700</v>
      </c>
      <c r="X65" s="52">
        <f>VLOOKUP(TFP!$C$14,'lower constraints'!$A$5:$AU$21,13,FALSE)</f>
        <v>1.1000000000000001</v>
      </c>
      <c r="Y65" s="52">
        <f>VLOOKUP(TFP!$C$14,'lower constraints'!$A$5:$AU$21,14,FALSE)</f>
        <v>0</v>
      </c>
      <c r="Z65" s="52">
        <f>VLOOKUP(TFP!$C$14,'lower constraints'!$A$5:$AU$21,15,FALSE)</f>
        <v>1.1000000000000001</v>
      </c>
      <c r="AA65" s="52">
        <f>VLOOKUP(TFP!$C$14,'lower constraints'!$A$5:$AU$21,16,FALSE)</f>
        <v>2.4</v>
      </c>
      <c r="AB65" s="52">
        <f>VLOOKUP(TFP!$C$14,'lower constraints'!$A$5:$AU$21,17,FALSE)</f>
        <v>1.3</v>
      </c>
      <c r="AC65" s="52">
        <f>VLOOKUP(TFP!$C$14,'lower constraints'!$A$5:$AU$21,18,FALSE)</f>
        <v>75</v>
      </c>
      <c r="AD65" s="52">
        <f>VLOOKUP(TFP!$C$14,'lower constraints'!$A$5:$AU$21,19,FALSE)</f>
        <v>15</v>
      </c>
      <c r="AE65" s="52">
        <f>VLOOKUP(TFP!$C$14,'lower constraints'!$A$5:$AU$21,20,FALSE)</f>
        <v>700</v>
      </c>
      <c r="AF65" s="52">
        <f>VLOOKUP(TFP!$C$14,'lower constraints'!$A$5:$AU$21,21,FALSE)</f>
        <v>8</v>
      </c>
      <c r="AG65" s="52">
        <f>$I$64*VLOOKUP(TFP!$C$14,'lower constraints'!$A$5:$AU$21,42,FALSE)</f>
        <v>114.92250000000001</v>
      </c>
      <c r="AH65" s="52">
        <f>$I$64*VLOOKUP(TFP!$C$14,'lower constraints'!$A$5:$AU$21,43,FALSE)</f>
        <v>13.790700000000001</v>
      </c>
      <c r="AI65" s="52">
        <f>VLOOKUP(TFP!$C$14,'lower constraints'!$A$5:$AU$21,28,FALSE)</f>
        <v>7</v>
      </c>
      <c r="AJ65" s="52">
        <f>VLOOKUP(TFP!$C$14,'lower constraints'!$A$5:$AU$21,29,FALSE)</f>
        <v>3</v>
      </c>
      <c r="AK65" s="52">
        <f>VLOOKUP(TFP!$C$14,'lower constraints'!$A$5:$AU$21,30,FALSE)</f>
        <v>2</v>
      </c>
      <c r="AL65" s="52">
        <f>VLOOKUP(TFP!$C$14,'lower constraints'!$A$5:$AU$21,31,FALSE)</f>
        <v>3</v>
      </c>
      <c r="AM65" s="52">
        <f>VLOOKUP(TFP!$C$14,'lower constraints'!$A$5:$AU$21,32,FALSE)</f>
        <v>6</v>
      </c>
      <c r="AN65" s="52">
        <f>VLOOKUP(TFP!$C$14,'lower constraints'!$A$5:$AU$21,33,FALSE)</f>
        <v>29</v>
      </c>
      <c r="AO65" s="52">
        <f>VLOOKUP(TFP!$C$14,'lower constraints'!$A$5:$AU$21,34,FALSE)</f>
        <v>0</v>
      </c>
      <c r="AP65" s="52">
        <f>VLOOKUP(TFP!$C$14,'lower constraints'!$A$5:$AU$21,35,FALSE)</f>
        <v>3.5</v>
      </c>
      <c r="AQ65" s="52">
        <f>VLOOKUP(TFP!$C$14,'lower constraints'!$A$5:$AU$21,36,FALSE)</f>
        <v>0.42857142857142855</v>
      </c>
      <c r="AR65" s="52">
        <f>VLOOKUP(TFP!$C$14,'lower constraints'!$A$5:$AU$21,37,FALSE)</f>
        <v>0.2857142857142857</v>
      </c>
      <c r="AS65" s="52">
        <f>VLOOKUP(TFP!$C$14,'lower constraints'!$A$5:$AU$21,38,FALSE)</f>
        <v>0.42857142857142855</v>
      </c>
      <c r="AT65" s="52">
        <f>VLOOKUP(TFP!$C$14,'lower constraints'!$A$5:$AU$21,39,FALSE)</f>
        <v>0.8571428571428571</v>
      </c>
      <c r="AU65" s="52">
        <f>VLOOKUP(TFP!$C$14,'lower constraints'!$A$5:$AU$21,40,FALSE)</f>
        <v>1</v>
      </c>
      <c r="AV65" s="52">
        <f>VLOOKUP(TFP!$C$14,'lower constraints'!$A$5:$AU$21,41,FALSE)</f>
        <v>1</v>
      </c>
    </row>
    <row r="66" spans="1:48" x14ac:dyDescent="0.2">
      <c r="A66" s="2" t="s">
        <v>431</v>
      </c>
      <c r="B66" s="71">
        <f>VLOOKUP(TFP!$C$14,'cost constraint'!$A$5:$C$21,3,FALSE)*30.4</f>
        <v>167.2</v>
      </c>
      <c r="C66" s="71"/>
      <c r="I66" s="69">
        <f>VLOOKUP(TFP!$C$14,'upper constraints'!$A$5:$AU$21,5,FALSE)*1.05</f>
        <v>2310</v>
      </c>
      <c r="J66" s="71">
        <f>$I$64*VLOOKUP(TFP!$C$14,'upper constraints'!$A$5:$AU$21,44,FALSE)</f>
        <v>804.4575000000001</v>
      </c>
      <c r="K66" s="71">
        <f>$I$64*VLOOKUP(TFP!$C$14,'upper constraints'!$A$5:$AU$21,45,FALSE)</f>
        <v>1493.9925000000003</v>
      </c>
      <c r="L66" s="71">
        <f>$I$64*VLOOKUP(TFP!$C$14,'upper constraints'!$A$5:$AU$21,46,FALSE)</f>
        <v>804.4575000000001</v>
      </c>
      <c r="M66" s="71">
        <f>$I$64*VLOOKUP(TFP!$C$14,'upper constraints'!$A$5:$AU$21,47,FALSE)</f>
        <v>229.84500000000003</v>
      </c>
      <c r="N66" s="52">
        <f>VLOOKUP(TFP!$C$14,'upper constraints'!$A$5:$AU$21,2,FALSE)</f>
        <v>2500</v>
      </c>
      <c r="O66" s="52">
        <f>VLOOKUP(TFP!$C$14,'upper constraints'!$A$5:$AU$21,3,FALSE)</f>
        <v>299.99</v>
      </c>
      <c r="P66" s="52">
        <f>VLOOKUP(TFP!$C$14,'upper constraints'!$A$5:$AU$21,4,FALSE)</f>
        <v>10</v>
      </c>
      <c r="Q66" s="54">
        <f>VLOOKUP(TFP!$C$14,'upper constraints'!$A$5:$AU$21,6,FALSE)</f>
        <v>10000000000</v>
      </c>
      <c r="R66" s="52">
        <f>VLOOKUP(TFP!$C$14,'upper constraints'!$A$5:$AU$21,7,FALSE)</f>
        <v>1000</v>
      </c>
      <c r="S66" s="52">
        <f>VLOOKUP(TFP!$C$14,'upper constraints'!$A$5:$AU$21,8,FALSE)</f>
        <v>45</v>
      </c>
      <c r="T66" s="54">
        <f>VLOOKUP(TFP!$C$14,'upper constraints'!$A$5:$AU$21,9,FALSE)</f>
        <v>10000000000</v>
      </c>
      <c r="U66" s="54">
        <f>VLOOKUP(TFP!$C$14,'upper constraints'!$A$5:$AU$21,10,FALSE)</f>
        <v>35</v>
      </c>
      <c r="V66" s="54">
        <f>VLOOKUP(TFP!$C$14,'upper constraints'!$A$5:$AU$21,11,FALSE)</f>
        <v>4000</v>
      </c>
      <c r="W66" s="54">
        <f>VLOOKUP(TFP!$C$14,'upper constraints'!$A$5:$AU$21,12,FALSE)</f>
        <v>10000000000</v>
      </c>
      <c r="X66" s="54">
        <f>VLOOKUP(TFP!$C$14,'upper constraints'!$A$5:$AU$21,13,FALSE)</f>
        <v>10000000000</v>
      </c>
      <c r="Y66" s="54">
        <f>VLOOKUP(TFP!$C$14,'upper constraints'!$A$5:$AU$21,14,FALSE)</f>
        <v>2693</v>
      </c>
      <c r="Z66" s="54">
        <f>VLOOKUP(TFP!$C$14,'upper constraints'!$A$5:$AU$21,15,FALSE)</f>
        <v>10000000000</v>
      </c>
      <c r="AA66" s="54">
        <f>VLOOKUP(TFP!$C$14,'upper constraints'!$A$5:$AU$21,16,FALSE)</f>
        <v>10000000000</v>
      </c>
      <c r="AB66" s="54">
        <f>VLOOKUP(TFP!$C$14,'upper constraints'!$A$5:$AU$21,17,FALSE)</f>
        <v>100</v>
      </c>
      <c r="AC66" s="54">
        <f>VLOOKUP(TFP!$C$14,'upper constraints'!$A$5:$AU$21,18,FALSE)</f>
        <v>2000</v>
      </c>
      <c r="AD66" s="54">
        <f>VLOOKUP(TFP!$C$14,'upper constraints'!$A$5:$AU$21,19,FALSE)</f>
        <v>1000</v>
      </c>
      <c r="AE66" s="54">
        <f>VLOOKUP(TFP!$C$14,'upper constraints'!$A$5:$AU$21,20,FALSE)</f>
        <v>3000</v>
      </c>
      <c r="AF66" s="54">
        <f>VLOOKUP(TFP!$C$14,'upper constraints'!$A$5:$AU$21,21,FALSE)</f>
        <v>40</v>
      </c>
      <c r="AG66" s="52">
        <f>$I$64*VLOOKUP(TFP!$C$14,'upper constraints'!$A$5:$AU$21,42,FALSE)</f>
        <v>229.84500000000003</v>
      </c>
      <c r="AH66" s="52">
        <f>$I$64*VLOOKUP(TFP!$C$14,'upper constraints'!$A$5:$AU$21,43,FALSE)</f>
        <v>27.581400000000002</v>
      </c>
      <c r="AI66" s="54">
        <f>VLOOKUP(TFP!$C$14,'upper constraints'!$A$5:$AU$21,28,FALSE)</f>
        <v>10000000000</v>
      </c>
      <c r="AJ66" s="54">
        <f>VLOOKUP(TFP!$C$14,'upper constraints'!$A$5:$AU$21,29,FALSE)</f>
        <v>10000000000</v>
      </c>
      <c r="AK66" s="54">
        <f>VLOOKUP(TFP!$C$14,'upper constraints'!$A$5:$AU$21,30,FALSE)</f>
        <v>10000000000</v>
      </c>
      <c r="AL66" s="54">
        <f>VLOOKUP(TFP!$C$14,'upper constraints'!$A$5:$AU$21,31,FALSE)</f>
        <v>10000000000</v>
      </c>
      <c r="AM66" s="54">
        <f>VLOOKUP(TFP!$C$14,'upper constraints'!$A$5:$AU$21,32,FALSE)</f>
        <v>10000000000</v>
      </c>
      <c r="AN66" s="54">
        <f>VLOOKUP(TFP!$C$14,'upper constraints'!$A$5:$AU$21,33,FALSE)</f>
        <v>10000000000</v>
      </c>
      <c r="AO66" s="54">
        <f>VLOOKUP(TFP!$C$14,'upper constraints'!$A$5:$AU$21,34,FALSE)</f>
        <v>290</v>
      </c>
      <c r="AP66" s="54">
        <f>VLOOKUP(TFP!$C$14,'upper constraints'!$A$5:$AU$21,35,FALSE)</f>
        <v>10000000000</v>
      </c>
      <c r="AQ66" s="54">
        <f>VLOOKUP(TFP!$C$14,'upper constraints'!$A$5:$AU$21,36,FALSE)</f>
        <v>10000000000</v>
      </c>
      <c r="AR66" s="54">
        <f>VLOOKUP(TFP!$C$14,'upper constraints'!$A$5:$AU$21,37,FALSE)</f>
        <v>10000000000</v>
      </c>
      <c r="AS66" s="54">
        <f>VLOOKUP(TFP!$C$14,'upper constraints'!$A$5:$AU$21,38,FALSE)</f>
        <v>10000000000</v>
      </c>
      <c r="AT66" s="54">
        <f>VLOOKUP(TFP!$C$14,'upper constraints'!$A$5:$AU$21,39,FALSE)</f>
        <v>10000000000</v>
      </c>
      <c r="AU66" s="54">
        <f>VLOOKUP(TFP!$C$14,'upper constraints'!$A$5:$AU$21,40,FALSE)</f>
        <v>10000000000</v>
      </c>
      <c r="AV66" s="54">
        <f>VLOOKUP(TFP!$C$14,'upper constraints'!$A$5:$AU$21,41,FALSE)</f>
        <v>10000000000</v>
      </c>
    </row>
    <row r="67" spans="1:48" x14ac:dyDescent="0.2">
      <c r="A67" s="2" t="s">
        <v>302</v>
      </c>
      <c r="B67" s="95">
        <f>B64/B65</f>
        <v>0.99999999999999911</v>
      </c>
      <c r="C67" s="95"/>
      <c r="I67" s="73">
        <f>I64/I65</f>
        <v>0.99500000000000011</v>
      </c>
    </row>
    <row r="68" spans="1:48" x14ac:dyDescent="0.2">
      <c r="A68" s="2" t="s">
        <v>338</v>
      </c>
      <c r="J68" t="str">
        <f>IF(AND(J64&gt;=J65,J64&lt;=J66),"Yes","No")</f>
        <v>Yes</v>
      </c>
      <c r="K68" t="str">
        <f>IF(AND(K64&gt;=K65,K64&lt;=K66),"Yes","No")</f>
        <v>Yes</v>
      </c>
      <c r="L68" t="str">
        <f>IF(AND(L64&gt;=L65,L64&lt;=L66),"Yes","No")</f>
        <v>Yes</v>
      </c>
      <c r="M68" t="str">
        <f>IF(AND(M64&gt;=M65,M64&lt;=M66),"Yes","No")</f>
        <v>Yes</v>
      </c>
      <c r="N68" t="str">
        <f>IF(AND(N64&gt;=N65,N64&lt;=N66),"Yes","No")</f>
        <v>Yes</v>
      </c>
      <c r="O68" t="str">
        <f>IF(AND(O64&gt;=O65,O64&lt;=O66),"No","Yes")</f>
        <v>No</v>
      </c>
      <c r="P68" t="str">
        <f t="shared" ref="P68:X68" si="6">IF(AND(P64&gt;=P65,P64&lt;=P66),"Yes","No")</f>
        <v>Yes</v>
      </c>
      <c r="Q68" t="str">
        <f t="shared" si="6"/>
        <v>Yes</v>
      </c>
      <c r="R68" t="str">
        <f t="shared" si="6"/>
        <v>Yes</v>
      </c>
      <c r="S68" t="str">
        <f t="shared" si="6"/>
        <v>Yes</v>
      </c>
      <c r="T68" t="str">
        <f t="shared" si="6"/>
        <v>Yes</v>
      </c>
      <c r="U68" t="str">
        <f t="shared" si="6"/>
        <v>Yes</v>
      </c>
      <c r="V68" t="str">
        <f t="shared" si="6"/>
        <v>Yes</v>
      </c>
      <c r="W68" t="str">
        <f t="shared" si="6"/>
        <v>No</v>
      </c>
      <c r="X68" t="str">
        <f t="shared" si="6"/>
        <v>Yes</v>
      </c>
      <c r="Y68" t="str">
        <f>IF(AND(Y64&gt;=Y65,Y64&lt;=Y71),"No","Yes")</f>
        <v>Yes</v>
      </c>
      <c r="Z68" t="str">
        <f t="shared" ref="Z68:AN68" si="7">IF(AND(Z64&gt;=Z65,Z64&lt;=Z66),"Yes","No")</f>
        <v>Yes</v>
      </c>
      <c r="AA68" t="str">
        <f t="shared" si="7"/>
        <v>Yes</v>
      </c>
      <c r="AB68" t="str">
        <f t="shared" si="7"/>
        <v>Yes</v>
      </c>
      <c r="AC68" t="str">
        <f t="shared" si="7"/>
        <v>Yes</v>
      </c>
      <c r="AD68" t="str">
        <f t="shared" si="7"/>
        <v>No</v>
      </c>
      <c r="AE68" t="str">
        <f t="shared" si="7"/>
        <v>Yes</v>
      </c>
      <c r="AF68" t="str">
        <f t="shared" si="7"/>
        <v>Yes</v>
      </c>
      <c r="AG68" t="str">
        <f t="shared" si="7"/>
        <v>Yes</v>
      </c>
      <c r="AH68" t="str">
        <f t="shared" si="7"/>
        <v>Yes</v>
      </c>
      <c r="AI68" t="str">
        <f t="shared" si="7"/>
        <v>Yes</v>
      </c>
      <c r="AJ68" t="str">
        <f t="shared" si="7"/>
        <v>Yes</v>
      </c>
      <c r="AK68" t="str">
        <f t="shared" si="7"/>
        <v>Yes</v>
      </c>
      <c r="AL68" t="str">
        <f t="shared" si="7"/>
        <v>Yes</v>
      </c>
      <c r="AM68" t="str">
        <f t="shared" si="7"/>
        <v>Yes</v>
      </c>
      <c r="AN68" t="str">
        <f t="shared" si="7"/>
        <v>Yes</v>
      </c>
      <c r="AO68" t="str">
        <f>IF(AND(AO64&gt;=AO65,AO64&lt;=AO66),"No","Yes")</f>
        <v>Yes</v>
      </c>
      <c r="AP68" t="str">
        <f t="shared" ref="AP68:AV68" si="8">IF(AND(AP64&gt;=AP65,AP64&lt;=AP66),"Yes","No")</f>
        <v>Yes</v>
      </c>
      <c r="AQ68" t="str">
        <f t="shared" si="8"/>
        <v>Yes</v>
      </c>
      <c r="AR68" t="str">
        <f t="shared" si="8"/>
        <v>Yes</v>
      </c>
      <c r="AS68" t="str">
        <f t="shared" si="8"/>
        <v>Yes</v>
      </c>
      <c r="AT68" t="str">
        <f t="shared" si="8"/>
        <v>Yes</v>
      </c>
      <c r="AU68" t="str">
        <f t="shared" si="8"/>
        <v>Yes</v>
      </c>
      <c r="AV68" t="str">
        <f t="shared" si="8"/>
        <v>Yes</v>
      </c>
    </row>
    <row r="69" spans="1:48" x14ac:dyDescent="0.2">
      <c r="K69" s="68"/>
      <c r="N69" s="3" t="s">
        <v>502</v>
      </c>
      <c r="O69" s="3" t="s">
        <v>503</v>
      </c>
      <c r="P69" s="3" t="s">
        <v>502</v>
      </c>
      <c r="Q69" s="3" t="s">
        <v>502</v>
      </c>
      <c r="R69" s="3" t="s">
        <v>502</v>
      </c>
      <c r="S69" s="3" t="s">
        <v>502</v>
      </c>
      <c r="T69" s="3" t="s">
        <v>502</v>
      </c>
      <c r="U69" s="3" t="s">
        <v>502</v>
      </c>
      <c r="V69" s="3" t="s">
        <v>502</v>
      </c>
      <c r="W69" s="3" t="s">
        <v>502</v>
      </c>
      <c r="X69" s="3" t="s">
        <v>502</v>
      </c>
      <c r="Y69" s="3" t="s">
        <v>503</v>
      </c>
      <c r="Z69" s="3" t="s">
        <v>502</v>
      </c>
      <c r="AA69" s="3" t="s">
        <v>502</v>
      </c>
      <c r="AB69" s="3" t="s">
        <v>502</v>
      </c>
      <c r="AC69" s="3" t="s">
        <v>502</v>
      </c>
      <c r="AD69" s="3" t="s">
        <v>502</v>
      </c>
      <c r="AE69" s="3" t="s">
        <v>502</v>
      </c>
      <c r="AF69" s="3" t="s">
        <v>502</v>
      </c>
      <c r="AO69" s="3" t="s">
        <v>503</v>
      </c>
    </row>
    <row r="70" spans="1:48" x14ac:dyDescent="0.2">
      <c r="K70" s="69"/>
      <c r="N70" s="3" t="s">
        <v>504</v>
      </c>
      <c r="P70" s="3" t="s">
        <v>504</v>
      </c>
      <c r="R70" s="3" t="s">
        <v>504</v>
      </c>
      <c r="S70" s="3" t="s">
        <v>504</v>
      </c>
      <c r="U70" s="3" t="s">
        <v>505</v>
      </c>
      <c r="V70" s="3" t="s">
        <v>505</v>
      </c>
      <c r="AB70" s="3" t="s">
        <v>504</v>
      </c>
      <c r="AC70" s="3" t="s">
        <v>504</v>
      </c>
      <c r="AD70" s="3" t="s">
        <v>505</v>
      </c>
      <c r="AE70" s="3" t="s">
        <v>505</v>
      </c>
      <c r="AF70" s="3" t="s">
        <v>505</v>
      </c>
    </row>
    <row r="71" spans="1:48" x14ac:dyDescent="0.2">
      <c r="A71" s="2" t="s">
        <v>491</v>
      </c>
      <c r="J71" s="95">
        <f>VLOOKUP(TFP!$C$14,'lower constraints'!$A$5:$AU$21,44,FALSE)</f>
        <v>0.1</v>
      </c>
      <c r="K71" s="95">
        <f>VLOOKUP(TFP!$C$14,'lower constraints'!$A$5:$AU$21,45,FALSE)</f>
        <v>0.45</v>
      </c>
      <c r="L71" s="95">
        <f>VLOOKUP(TFP!$C$14,'lower constraints'!$A$5:$AU$21,46,FALSE)</f>
        <v>0.2</v>
      </c>
      <c r="M71" s="95">
        <f>VLOOKUP(TFP!$C$14,'lower constraints'!$A$5:$AU$21,47,FALSE)</f>
        <v>0</v>
      </c>
      <c r="N71" s="73"/>
      <c r="O71" s="73"/>
      <c r="P71" s="73"/>
      <c r="Q71" s="73"/>
      <c r="R71" s="73"/>
      <c r="S71" s="73"/>
      <c r="T71" s="73"/>
      <c r="U71" s="73"/>
      <c r="V71" s="73"/>
      <c r="W71" s="73"/>
      <c r="X71" s="73"/>
      <c r="Y71" s="69">
        <f>VLOOKUP(TFP!$C$14,'upper constraints'!$A$5:$AW$21,49,FALSE)</f>
        <v>2300</v>
      </c>
      <c r="Z71" s="73"/>
      <c r="AA71" s="73"/>
      <c r="AB71" s="73"/>
      <c r="AC71" s="73"/>
      <c r="AD71" s="73"/>
      <c r="AE71" s="73"/>
      <c r="AF71" s="73"/>
      <c r="AG71" s="73">
        <f>VLOOKUP(TFP!$C$14,'lower constraints'!$A$5:$AU$21,42,FALSE)</f>
        <v>0.05</v>
      </c>
      <c r="AH71" s="159">
        <f>VLOOKUP(TFP!$C$14,'lower constraints'!$A$5:$AU$21,43,FALSE)</f>
        <v>6.0000000000000001E-3</v>
      </c>
    </row>
    <row r="72" spans="1:48" x14ac:dyDescent="0.2">
      <c r="A72" s="2"/>
      <c r="J72" s="161">
        <f>J71*100</f>
        <v>10</v>
      </c>
      <c r="K72" s="161">
        <f>K71*100</f>
        <v>45</v>
      </c>
      <c r="L72" s="161">
        <f>L71*100</f>
        <v>20</v>
      </c>
      <c r="M72" s="161">
        <f>M71*100</f>
        <v>0</v>
      </c>
      <c r="N72" s="73"/>
      <c r="O72" s="73"/>
      <c r="P72" s="73"/>
      <c r="Q72" s="73"/>
      <c r="R72" s="73"/>
      <c r="S72" s="73"/>
      <c r="T72" s="73"/>
      <c r="U72" s="73"/>
      <c r="V72" s="73"/>
      <c r="W72" s="73"/>
      <c r="X72" s="73"/>
      <c r="Y72" s="73"/>
      <c r="Z72" s="73"/>
      <c r="AA72" s="73"/>
      <c r="AB72" s="73"/>
      <c r="AC72" s="73"/>
      <c r="AD72" s="73"/>
      <c r="AE72" s="73"/>
      <c r="AF72" s="73"/>
      <c r="AG72" s="161">
        <f>AG71*100</f>
        <v>5</v>
      </c>
      <c r="AH72" s="161">
        <f>AH71*100</f>
        <v>0.6</v>
      </c>
    </row>
    <row r="73" spans="1:48" x14ac:dyDescent="0.2">
      <c r="A73" s="2" t="s">
        <v>492</v>
      </c>
      <c r="J73" s="95">
        <f>VLOOKUP(TFP!$C$14,'upper constraints'!$A$5:$AU$21,44,FALSE)</f>
        <v>0.35</v>
      </c>
      <c r="K73" s="95">
        <f>VLOOKUP(TFP!$C$14,'upper constraints'!$A$5:$AU$21,45,FALSE)</f>
        <v>0.65</v>
      </c>
      <c r="L73" s="95">
        <f>VLOOKUP(TFP!$C$14,'upper constraints'!$A$5:$AU$21,46,FALSE)</f>
        <v>0.35</v>
      </c>
      <c r="M73" s="95">
        <f>VLOOKUP(TFP!$C$14,'upper constraints'!$A$5:$AU$21,47,FALSE)</f>
        <v>0.1</v>
      </c>
      <c r="N73" s="73"/>
      <c r="O73" s="73"/>
      <c r="P73" s="73"/>
      <c r="Q73" s="73"/>
      <c r="R73" s="73"/>
      <c r="S73" s="73"/>
      <c r="T73" s="73"/>
      <c r="U73" s="73"/>
      <c r="V73" s="73"/>
      <c r="W73" s="73"/>
      <c r="X73" s="73"/>
      <c r="Y73" s="73"/>
      <c r="Z73" s="73"/>
      <c r="AA73" s="73"/>
      <c r="AB73" s="73"/>
      <c r="AC73" s="73"/>
      <c r="AD73" s="73"/>
      <c r="AE73" s="73"/>
      <c r="AF73" s="73"/>
      <c r="AG73" s="73">
        <f>VLOOKUP(TFP!$C$14,'upper constraints'!$A$5:$AU$21,42,FALSE)</f>
        <v>0.1</v>
      </c>
      <c r="AH73" s="159">
        <f>VLOOKUP(TFP!$C$14,'upper constraints'!$A$5:$AU$21,43,FALSE)</f>
        <v>1.2E-2</v>
      </c>
    </row>
    <row r="74" spans="1:48" x14ac:dyDescent="0.2">
      <c r="A74" s="2"/>
      <c r="J74" s="161">
        <f>J73*100</f>
        <v>35</v>
      </c>
      <c r="K74" s="161">
        <f>K73*100</f>
        <v>65</v>
      </c>
      <c r="L74" s="161">
        <f>L73*100</f>
        <v>35</v>
      </c>
      <c r="M74" s="161">
        <f>M73*100</f>
        <v>10</v>
      </c>
      <c r="N74" s="73"/>
      <c r="O74" s="73"/>
      <c r="P74" s="73"/>
      <c r="Q74" s="73"/>
      <c r="R74" s="73"/>
      <c r="S74" s="73"/>
      <c r="T74" s="73"/>
      <c r="U74" s="73"/>
      <c r="V74" s="73"/>
      <c r="W74" s="73"/>
      <c r="X74" s="73"/>
      <c r="Y74" s="73"/>
      <c r="Z74" s="73"/>
      <c r="AA74" s="73"/>
      <c r="AB74" s="73"/>
      <c r="AC74" s="73"/>
      <c r="AD74" s="73"/>
      <c r="AE74" s="73"/>
      <c r="AF74" s="73"/>
      <c r="AG74" s="161">
        <f>AG73*100</f>
        <v>10</v>
      </c>
      <c r="AH74" s="161">
        <f>AH73*100</f>
        <v>1.2</v>
      </c>
    </row>
    <row r="75" spans="1:48" x14ac:dyDescent="0.2">
      <c r="J75" s="160" t="s">
        <v>493</v>
      </c>
      <c r="K75" s="160" t="s">
        <v>493</v>
      </c>
      <c r="L75" s="160" t="s">
        <v>493</v>
      </c>
      <c r="M75" s="160" t="s">
        <v>493</v>
      </c>
      <c r="AG75" s="160" t="s">
        <v>493</v>
      </c>
      <c r="AH75" s="160" t="s">
        <v>493</v>
      </c>
    </row>
    <row r="76" spans="1:48" x14ac:dyDescent="0.2">
      <c r="J76" s="160" t="s">
        <v>494</v>
      </c>
      <c r="K76" s="160" t="s">
        <v>494</v>
      </c>
      <c r="L76" s="160" t="s">
        <v>494</v>
      </c>
      <c r="M76" s="160" t="s">
        <v>494</v>
      </c>
      <c r="AG76" s="160" t="s">
        <v>494</v>
      </c>
      <c r="AH76" s="160" t="s">
        <v>494</v>
      </c>
    </row>
    <row r="77" spans="1:48" x14ac:dyDescent="0.2">
      <c r="J77" t="str">
        <f>CONCATENATE(J72, J75, J74, J76)</f>
        <v>10% to 35%</v>
      </c>
      <c r="K77" t="str">
        <f>CONCATENATE(K72, K75, K74, K76)</f>
        <v>45% to 65%</v>
      </c>
      <c r="L77" t="str">
        <f>CONCATENATE(L72, L75, L74, L76)</f>
        <v>20% to 35%</v>
      </c>
      <c r="M77" t="str">
        <f>CONCATENATE(M72, M75, M74, M76)</f>
        <v>0% to 10%</v>
      </c>
      <c r="AG77" t="str">
        <f>CONCATENATE(AG72, AG75, AG74, AG76)</f>
        <v>5% to 10%</v>
      </c>
      <c r="AH77" t="str">
        <f>CONCATENATE(AH72, AH75, AH74, AH76)</f>
        <v>0.6% to 1.2%</v>
      </c>
    </row>
  </sheetData>
  <phoneticPr fontId="3" type="noConversion"/>
  <pageMargins left="0.25" right="0.2" top="0.25" bottom="0.25" header="0.3" footer="0.3"/>
  <pageSetup scale="7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66"/>
  <sheetViews>
    <sheetView workbookViewId="0">
      <selection activeCell="P20" sqref="P20"/>
    </sheetView>
  </sheetViews>
  <sheetFormatPr defaultColWidth="8.85546875" defaultRowHeight="12.75" x14ac:dyDescent="0.2"/>
  <cols>
    <col min="1" max="1" width="28.42578125" customWidth="1"/>
    <col min="2" max="2" width="27.42578125" customWidth="1"/>
    <col min="3" max="3" width="13.42578125" customWidth="1"/>
    <col min="4" max="4" width="23.28515625" customWidth="1"/>
    <col min="5" max="5" width="12.140625" customWidth="1"/>
    <col min="6" max="6" width="25.42578125" customWidth="1"/>
    <col min="7" max="7" width="12.140625" customWidth="1"/>
    <col min="8" max="8" width="10.140625" customWidth="1"/>
    <col min="9" max="9" width="11.85546875" customWidth="1"/>
    <col min="10" max="10" width="9.85546875" customWidth="1"/>
    <col min="11" max="12" width="11.42578125" customWidth="1"/>
    <col min="13" max="13" width="14.28515625" customWidth="1"/>
    <col min="14" max="14" width="2.7109375" customWidth="1"/>
    <col min="15" max="15" width="5.7109375" customWidth="1"/>
    <col min="16" max="16" width="15.7109375" customWidth="1"/>
    <col min="17" max="17" width="11.42578125" customWidth="1"/>
    <col min="18" max="18" width="12.42578125" customWidth="1"/>
    <col min="19" max="19" width="17.28515625" customWidth="1"/>
    <col min="20" max="20" width="8.7109375" customWidth="1"/>
    <col min="21" max="21" width="17.85546875" customWidth="1"/>
    <col min="22" max="24" width="8.85546875" customWidth="1"/>
    <col min="25" max="25" width="24.42578125" customWidth="1"/>
    <col min="26" max="26" width="24.7109375" customWidth="1"/>
  </cols>
  <sheetData>
    <row r="1" spans="1:26" ht="16.5" thickBot="1" x14ac:dyDescent="0.3">
      <c r="A1" s="10" t="s">
        <v>306</v>
      </c>
    </row>
    <row r="2" spans="1:26" ht="13.5" thickBot="1" x14ac:dyDescent="0.25">
      <c r="B2" s="481" t="s">
        <v>354</v>
      </c>
      <c r="C2" s="482"/>
      <c r="D2" s="481" t="s">
        <v>355</v>
      </c>
      <c r="E2" s="482"/>
      <c r="F2" s="481" t="s">
        <v>353</v>
      </c>
      <c r="G2" s="482"/>
      <c r="P2" s="481" t="s">
        <v>498</v>
      </c>
      <c r="Q2" s="483"/>
      <c r="R2" s="483"/>
      <c r="S2" s="483"/>
      <c r="T2" s="483"/>
      <c r="U2" s="483"/>
      <c r="V2" s="483"/>
      <c r="W2" s="483"/>
      <c r="X2" s="483"/>
      <c r="Y2" s="483"/>
      <c r="Z2" s="482"/>
    </row>
    <row r="3" spans="1:26" ht="36" customHeight="1" x14ac:dyDescent="0.2">
      <c r="B3" s="83" t="s">
        <v>194</v>
      </c>
      <c r="C3" s="277" t="s">
        <v>195</v>
      </c>
      <c r="D3" s="278" t="s">
        <v>132</v>
      </c>
      <c r="E3" s="277" t="s">
        <v>270</v>
      </c>
      <c r="F3" s="278" t="s">
        <v>132</v>
      </c>
      <c r="G3" s="277" t="s">
        <v>270</v>
      </c>
      <c r="H3" s="83" t="s">
        <v>135</v>
      </c>
      <c r="I3" s="84" t="s">
        <v>496</v>
      </c>
      <c r="J3" s="84" t="s">
        <v>325</v>
      </c>
      <c r="K3" s="84" t="s">
        <v>203</v>
      </c>
      <c r="L3" s="84" t="s">
        <v>484</v>
      </c>
      <c r="M3" s="85" t="s">
        <v>483</v>
      </c>
      <c r="N3" s="169"/>
      <c r="O3" s="279"/>
      <c r="P3" s="176" t="s">
        <v>284</v>
      </c>
      <c r="Q3" s="177" t="s">
        <v>323</v>
      </c>
      <c r="R3" s="177" t="s">
        <v>552</v>
      </c>
      <c r="S3" s="177" t="s">
        <v>357</v>
      </c>
      <c r="T3" s="177" t="s">
        <v>91</v>
      </c>
      <c r="U3" s="177" t="s">
        <v>357</v>
      </c>
      <c r="V3" s="177" t="s">
        <v>233</v>
      </c>
      <c r="W3" s="177" t="s">
        <v>403</v>
      </c>
      <c r="X3" s="177" t="s">
        <v>551</v>
      </c>
      <c r="Y3" s="177" t="s">
        <v>233</v>
      </c>
      <c r="Z3" s="178" t="s">
        <v>403</v>
      </c>
    </row>
    <row r="4" spans="1:26" ht="13.5" thickBot="1" x14ac:dyDescent="0.25">
      <c r="B4" s="86" t="s">
        <v>134</v>
      </c>
      <c r="C4" s="280"/>
      <c r="D4" s="281" t="s">
        <v>133</v>
      </c>
      <c r="E4" s="280"/>
      <c r="F4" s="281" t="s">
        <v>497</v>
      </c>
      <c r="G4" s="280"/>
      <c r="H4" s="86" t="s">
        <v>75</v>
      </c>
      <c r="I4" s="82"/>
      <c r="J4" s="82"/>
      <c r="K4" s="82" t="s">
        <v>75</v>
      </c>
      <c r="L4" s="82"/>
      <c r="M4" s="87" t="s">
        <v>127</v>
      </c>
      <c r="N4" s="170"/>
      <c r="P4" s="179"/>
      <c r="Q4" s="156"/>
      <c r="R4" s="156"/>
      <c r="S4" s="156"/>
      <c r="T4" s="156"/>
      <c r="U4" s="156"/>
      <c r="V4" s="156"/>
      <c r="W4" s="156"/>
      <c r="X4" s="156"/>
      <c r="Y4" s="156"/>
      <c r="Z4" s="173"/>
    </row>
    <row r="5" spans="1:26" ht="13.5" thickTop="1" x14ac:dyDescent="0.2">
      <c r="A5" s="90" t="s">
        <v>577</v>
      </c>
      <c r="B5" s="80">
        <f>IF($J$63=0,(M5*((LN(H5)-LN(K5))^2)),"undefined")</f>
        <v>0.5187883513397703</v>
      </c>
      <c r="C5" s="78">
        <f>IF($J$63=0,((B5/$B$63)),"undefined")</f>
        <v>1.8921199327743776E-2</v>
      </c>
      <c r="D5" s="186">
        <f t="shared" ref="D5:D62" si="0">M5*((H5-K5)^2)</f>
        <v>55.30504851369821</v>
      </c>
      <c r="E5" s="78">
        <f>D5/$D$63</f>
        <v>1.0892779028851762E-3</v>
      </c>
      <c r="F5" s="186">
        <f>M5*((I5-L5)^2)</f>
        <v>0.14259216501951938</v>
      </c>
      <c r="G5" s="78">
        <f>IF($F$63=0, 0, F5/$F$63)</f>
        <v>1.4491070525590651E-4</v>
      </c>
      <c r="H5" s="185">
        <f>calculations!H6</f>
        <v>0.14391270912791251</v>
      </c>
      <c r="I5" s="184">
        <f>TFP!E17</f>
        <v>7.3074287832099729E-3</v>
      </c>
      <c r="J5" s="80" t="str">
        <f t="shared" ref="J5:J58" si="1">IF(H5=0,"1", "0")</f>
        <v>0</v>
      </c>
      <c r="K5" s="81">
        <f>HLOOKUP(TFP!$C$14,'current consumption'!$C$5:$S$63,'current consumption'!$A6,FALSE)*100</f>
        <v>62.924509132940145</v>
      </c>
      <c r="L5" s="151">
        <f>HLOOKUP(TFP!$C$14,'current consumption'!$C$5:$S$63,'current consumption'!$A6,FALSE)*HLOOKUP(TFP!$C$14,cost!$C$6:$S$64,cost!$A7,FALSE)*30.4</f>
        <v>3.1951060611242577</v>
      </c>
      <c r="M5" s="152">
        <f t="shared" ref="M5:M61" si="2">L5/(SUM($L$5:$L$62))</f>
        <v>1.4031816711445679E-2</v>
      </c>
      <c r="N5" s="171"/>
      <c r="O5" s="172"/>
      <c r="P5" s="179" t="s">
        <v>397</v>
      </c>
      <c r="Q5" s="158">
        <v>8.7614081358834799</v>
      </c>
      <c r="R5" s="157">
        <v>14562.264177928448</v>
      </c>
      <c r="S5" s="157">
        <v>241.08839734692148</v>
      </c>
      <c r="T5" s="317">
        <f>Q5/R5</f>
        <v>6.0165150342230864E-4</v>
      </c>
      <c r="U5" s="157">
        <f>$D$63*T5</f>
        <v>30.547177627468855</v>
      </c>
      <c r="V5" s="156">
        <f>$B$63/Q5</f>
        <v>3.1294473076667435</v>
      </c>
      <c r="W5" s="156">
        <f>$D$63/R5</f>
        <v>3.4865602827425581</v>
      </c>
      <c r="X5" s="156">
        <f t="shared" ref="X5:X21" si="3">IF($F$63=0,0,(U5/(S5*T5)))</f>
        <v>210.59583318109588</v>
      </c>
      <c r="Y5" s="156" t="str">
        <f>IF(TFP!$Q$36&gt;'objective function'!Q5, "farther from current than TFP", "closer to current than TFP")</f>
        <v>farther from current than TFP</v>
      </c>
      <c r="Z5" s="173" t="str">
        <f>IF(TFP!$Q$37&gt;'objective function'!R5, "farther from current than TFP", "closer to current than TFP")</f>
        <v>closer to current than TFP</v>
      </c>
    </row>
    <row r="6" spans="1:26" x14ac:dyDescent="0.2">
      <c r="A6" s="282" t="s">
        <v>327</v>
      </c>
      <c r="B6" s="80">
        <f t="shared" ref="B6:B62" si="4">IF($J$63=0,(M6*((LN(H6)-LN(K6))^2)),"undefined")</f>
        <v>5.9059434374314441E-2</v>
      </c>
      <c r="C6" s="78">
        <f>IF($J$63=0,((B6/$B$63)),"undefined")</f>
        <v>2.1540100642088961E-3</v>
      </c>
      <c r="D6" s="186">
        <f>M6*((H6-K6)^2)</f>
        <v>4572.1511386003194</v>
      </c>
      <c r="E6" s="78">
        <f t="shared" ref="E6:E62" si="5">D6/$D$63</f>
        <v>9.0052234611006116E-2</v>
      </c>
      <c r="F6" s="186">
        <f t="shared" ref="F6:F62" si="6">M6*((I6-L6)^2)</f>
        <v>5.7775075423965108</v>
      </c>
      <c r="G6" s="78">
        <f t="shared" ref="G6:G62" si="7">IF($F$63=0, 0, F6/$F$63)</f>
        <v>5.8714494760311025E-3</v>
      </c>
      <c r="H6" s="185">
        <f>calculations!H7</f>
        <v>714.74092266706259</v>
      </c>
      <c r="I6" s="184">
        <f>TFP!E18</f>
        <v>25.407306103402416</v>
      </c>
      <c r="J6" s="80" t="str">
        <f t="shared" si="1"/>
        <v>0</v>
      </c>
      <c r="K6" s="81">
        <f>HLOOKUP(TFP!$C$14,'current consumption'!$C$5:$S$63,'current consumption'!$A7,FALSE)*100</f>
        <v>70.582409723611065</v>
      </c>
      <c r="L6" s="151">
        <f>HLOOKUP(TFP!$C$14,'current consumption'!$C$5:$S$63,'current consumption'!$A7,FALSE)*HLOOKUP(TFP!$C$14,cost!$C$6:$S$64,cost!$A8,FALSE)*30.4</f>
        <v>2.5090334588256176</v>
      </c>
      <c r="M6" s="153">
        <f t="shared" si="2"/>
        <v>1.1018819702259793E-2</v>
      </c>
      <c r="N6" s="171"/>
      <c r="O6" s="172"/>
      <c r="P6" s="179" t="s">
        <v>401</v>
      </c>
      <c r="Q6" s="158">
        <v>8.8215733779142926</v>
      </c>
      <c r="R6" s="157">
        <v>8685.8875328848553</v>
      </c>
      <c r="S6" s="157">
        <v>88.060725394248891</v>
      </c>
      <c r="T6" s="317">
        <f t="shared" ref="T6:T21" si="8">Q6/R6</f>
        <v>1.0156214139908823E-3</v>
      </c>
      <c r="U6" s="318">
        <f t="shared" ref="U6:U21" si="9">$D$63*T6</f>
        <v>51.565345651042236</v>
      </c>
      <c r="V6" s="156">
        <f>$B$63/Q6</f>
        <v>3.1081037279420842</v>
      </c>
      <c r="W6" s="156">
        <f>$D$63/R6</f>
        <v>5.845368330794745</v>
      </c>
      <c r="X6" s="156">
        <f t="shared" si="3"/>
        <v>576.55909240200162</v>
      </c>
      <c r="Y6" s="156" t="str">
        <f>IF(TFP!$Q$36&gt;'objective function'!Q6, "farther from current than TFP", "closer to current than TFP")</f>
        <v>farther from current than TFP</v>
      </c>
      <c r="Z6" s="173" t="str">
        <f>IF(TFP!$Q$37&gt;'objective function'!R6, "farther from current than TFP", "closer to current than TFP")</f>
        <v>closer to current than TFP</v>
      </c>
    </row>
    <row r="7" spans="1:26" x14ac:dyDescent="0.2">
      <c r="A7" s="88" t="s">
        <v>29</v>
      </c>
      <c r="B7" s="80">
        <f t="shared" si="4"/>
        <v>0.6424600617943742</v>
      </c>
      <c r="C7" s="78">
        <f t="shared" ref="C7:C62" si="10">IF($J$63=0,((B7/$B$63)),"undefined")</f>
        <v>2.343174216987098E-2</v>
      </c>
      <c r="D7" s="186">
        <f t="shared" si="0"/>
        <v>3.296831655824183</v>
      </c>
      <c r="E7" s="78">
        <f t="shared" si="5"/>
        <v>6.4933780346149633E-5</v>
      </c>
      <c r="F7" s="186">
        <f t="shared" si="6"/>
        <v>0.26323373491678165</v>
      </c>
      <c r="G7" s="78">
        <f t="shared" si="7"/>
        <v>2.6751390000085535E-4</v>
      </c>
      <c r="H7" s="185">
        <f>calculations!H8</f>
        <v>3.0817492825667755E-2</v>
      </c>
      <c r="I7" s="184">
        <f>TFP!E19</f>
        <v>8.7080254709013209E-3</v>
      </c>
      <c r="J7" s="80" t="str">
        <f t="shared" si="1"/>
        <v>0</v>
      </c>
      <c r="K7" s="81">
        <f>HLOOKUP(TFP!$C$14,'current consumption'!$C$5:$S$63,'current consumption'!$A8,FALSE)*100</f>
        <v>13.870514768822675</v>
      </c>
      <c r="L7" s="151">
        <f>HLOOKUP(TFP!$C$14,'current consumption'!$C$5:$S$63,'current consumption'!$A8,FALSE)*HLOOKUP(TFP!$C$14,cost!$C$6:$S$64,cost!$A9,FALSE)*30.4</f>
        <v>3.9193582873432091</v>
      </c>
      <c r="M7" s="153">
        <f t="shared" si="2"/>
        <v>1.7212485614682315E-2</v>
      </c>
      <c r="N7" s="171"/>
      <c r="O7" s="172"/>
      <c r="P7" s="179" t="s">
        <v>398</v>
      </c>
      <c r="Q7" s="158">
        <v>16.336008713926063</v>
      </c>
      <c r="R7" s="157">
        <v>9551.7237646652502</v>
      </c>
      <c r="S7" s="157">
        <v>84.672846670586623</v>
      </c>
      <c r="T7" s="317">
        <f t="shared" si="8"/>
        <v>1.7102681271372146E-3</v>
      </c>
      <c r="U7" s="318">
        <f t="shared" si="9"/>
        <v>86.834095773194122</v>
      </c>
      <c r="V7" s="156">
        <f t="shared" ref="V7:V21" si="11">$B$63/Q7</f>
        <v>1.6784004944143147</v>
      </c>
      <c r="W7" s="156">
        <f>$D$63/R7</f>
        <v>5.315502537603944</v>
      </c>
      <c r="X7" s="156">
        <f t="shared" si="3"/>
        <v>599.62802605533659</v>
      </c>
      <c r="Y7" s="156" t="str">
        <f>IF(TFP!$Q$36&gt;'objective function'!Q7, "farther from current than TFP", "closer to current than TFP")</f>
        <v>farther from current than TFP</v>
      </c>
      <c r="Z7" s="173" t="str">
        <f>IF(TFP!$Q$37&gt;'objective function'!R7, "farther from current than TFP", "closer to current than TFP")</f>
        <v>closer to current than TFP</v>
      </c>
    </row>
    <row r="8" spans="1:26" x14ac:dyDescent="0.2">
      <c r="A8" s="282" t="s">
        <v>9</v>
      </c>
      <c r="B8" s="80">
        <f t="shared" si="4"/>
        <v>0.64185461210322625</v>
      </c>
      <c r="C8" s="78">
        <f t="shared" si="10"/>
        <v>2.3409660266413536E-2</v>
      </c>
      <c r="D8" s="186">
        <f t="shared" si="0"/>
        <v>13.808490071010443</v>
      </c>
      <c r="E8" s="78">
        <f t="shared" si="5"/>
        <v>2.7196944059881871E-4</v>
      </c>
      <c r="F8" s="186">
        <f t="shared" si="6"/>
        <v>0.18579387652094917</v>
      </c>
      <c r="G8" s="78">
        <f t="shared" si="7"/>
        <v>1.8881487405141792E-4</v>
      </c>
      <c r="H8" s="185">
        <f>calculations!H9</f>
        <v>4.6441067199088311E-2</v>
      </c>
      <c r="I8" s="184">
        <f>TFP!E20</f>
        <v>5.3869729304791107E-3</v>
      </c>
      <c r="J8" s="80" t="str">
        <f t="shared" si="1"/>
        <v>0</v>
      </c>
      <c r="K8" s="81">
        <f>HLOOKUP(TFP!$C$14,'current consumption'!$C$5:$S$63,'current consumption'!$A9,FALSE)*100</f>
        <v>30.07039644707168</v>
      </c>
      <c r="L8" s="151">
        <f>HLOOKUP(TFP!$C$14,'current consumption'!$C$5:$S$63,'current consumption'!$A9,FALSE)*HLOOKUP(TFP!$C$14,cost!$C$6:$S$64,cost!$A10,FALSE)*30.4</f>
        <v>3.4880424038216407</v>
      </c>
      <c r="M8" s="153">
        <f t="shared" si="2"/>
        <v>1.5318293275984067E-2</v>
      </c>
      <c r="N8" s="171"/>
      <c r="O8" s="172"/>
      <c r="P8" s="179" t="s">
        <v>399</v>
      </c>
      <c r="Q8" s="158">
        <v>4.7393891984412875</v>
      </c>
      <c r="R8" s="157">
        <v>8690.2155457863319</v>
      </c>
      <c r="S8" s="157">
        <v>198.82162810845244</v>
      </c>
      <c r="T8" s="317">
        <f t="shared" si="8"/>
        <v>5.4537073027369253E-4</v>
      </c>
      <c r="U8" s="318">
        <f t="shared" si="9"/>
        <v>27.689678286732878</v>
      </c>
      <c r="V8" s="156">
        <f t="shared" si="11"/>
        <v>5.7852106999837734</v>
      </c>
      <c r="W8" s="156">
        <f t="shared" ref="W8:W21" si="12">$D$63/R8</f>
        <v>5.8424571452877494</v>
      </c>
      <c r="X8" s="156">
        <f t="shared" si="3"/>
        <v>255.36563799726559</v>
      </c>
      <c r="Y8" s="156" t="str">
        <f>IF(TFP!$Q$36&gt;'objective function'!Q8, "farther from current than TFP", "closer to current than TFP")</f>
        <v>farther from current than TFP</v>
      </c>
      <c r="Z8" s="173" t="str">
        <f>IF(TFP!$Q$37&gt;'objective function'!R8, "farther from current than TFP", "closer to current than TFP")</f>
        <v>closer to current than TFP</v>
      </c>
    </row>
    <row r="9" spans="1:26" x14ac:dyDescent="0.2">
      <c r="A9" s="282" t="s">
        <v>10</v>
      </c>
      <c r="B9" s="80">
        <f t="shared" si="4"/>
        <v>0.10685100606134856</v>
      </c>
      <c r="C9" s="78">
        <f t="shared" si="10"/>
        <v>3.8970597139191148E-3</v>
      </c>
      <c r="D9" s="186">
        <f t="shared" si="0"/>
        <v>0.24506202350388495</v>
      </c>
      <c r="E9" s="78">
        <f t="shared" si="5"/>
        <v>4.8266958300017121E-6</v>
      </c>
      <c r="F9" s="186">
        <f t="shared" si="6"/>
        <v>1.7589975625909679E-3</v>
      </c>
      <c r="G9" s="78">
        <f t="shared" si="7"/>
        <v>1.7875987597466164E-6</v>
      </c>
      <c r="H9" s="185">
        <f>calculations!H10</f>
        <v>2.805896012179613E-2</v>
      </c>
      <c r="I9" s="184">
        <f>TFP!E21</f>
        <v>2.3772025259851627E-3</v>
      </c>
      <c r="J9" s="80" t="str">
        <f t="shared" si="1"/>
        <v>0</v>
      </c>
      <c r="K9" s="81">
        <f>HLOOKUP(TFP!$C$14,'current consumption'!$C$5:$S$63,'current consumption'!$A10,FALSE)*100</f>
        <v>8.7193505530558699</v>
      </c>
      <c r="L9" s="151">
        <f>HLOOKUP(TFP!$C$14,'current consumption'!$C$5:$S$63,'current consumption'!$A10,FALSE)*HLOOKUP(TFP!$C$14,cost!$C$6:$S$64,cost!$A11,FALSE)*30.4</f>
        <v>0.73871811605638726</v>
      </c>
      <c r="M9" s="153">
        <f t="shared" si="2"/>
        <v>3.2441981604455312E-3</v>
      </c>
      <c r="N9" s="171"/>
      <c r="O9" s="172"/>
      <c r="P9" s="282" t="s">
        <v>405</v>
      </c>
      <c r="Q9" s="158">
        <v>17.871972717262402</v>
      </c>
      <c r="R9" s="157">
        <v>22727.563045568768</v>
      </c>
      <c r="S9" s="157">
        <v>168.79574637085622</v>
      </c>
      <c r="T9" s="317">
        <f t="shared" si="8"/>
        <v>7.8635675463440996E-4</v>
      </c>
      <c r="U9" s="318">
        <f t="shared" si="9"/>
        <v>39.925071782820027</v>
      </c>
      <c r="V9" s="156">
        <f t="shared" si="11"/>
        <v>1.5341543732173935</v>
      </c>
      <c r="W9" s="156">
        <f t="shared" si="12"/>
        <v>2.2339487875480422</v>
      </c>
      <c r="X9" s="156">
        <f t="shared" si="3"/>
        <v>300.79082560540292</v>
      </c>
      <c r="Y9" s="156" t="str">
        <f>IF(TFP!$Q$36&gt;'objective function'!Q9, "farther from current than TFP", "closer to current than TFP")</f>
        <v>farther from current than TFP</v>
      </c>
      <c r="Z9" s="173" t="str">
        <f>IF(TFP!$Q$37&gt;'objective function'!R9, "farther from current than TFP", "closer to current than TFP")</f>
        <v>closer to current than TFP</v>
      </c>
    </row>
    <row r="10" spans="1:26" x14ac:dyDescent="0.2">
      <c r="A10" s="282" t="s">
        <v>425</v>
      </c>
      <c r="B10" s="80">
        <f t="shared" si="4"/>
        <v>0.27300607686693718</v>
      </c>
      <c r="C10" s="78">
        <f t="shared" si="10"/>
        <v>9.9570516275943651E-3</v>
      </c>
      <c r="D10" s="186">
        <f t="shared" si="0"/>
        <v>0.57606274084322973</v>
      </c>
      <c r="E10" s="78">
        <f t="shared" si="5"/>
        <v>1.1346024117862942E-5</v>
      </c>
      <c r="F10" s="186">
        <f t="shared" si="6"/>
        <v>2.6251848505257542E-2</v>
      </c>
      <c r="G10" s="78">
        <f t="shared" si="7"/>
        <v>2.6678702021582557E-5</v>
      </c>
      <c r="H10" s="185">
        <f>calculations!H11</f>
        <v>2.4605236701142893E-2</v>
      </c>
      <c r="I10" s="184">
        <f>TFP!E22</f>
        <v>5.2525790694223319E-3</v>
      </c>
      <c r="J10" s="80" t="str">
        <f t="shared" si="1"/>
        <v>0</v>
      </c>
      <c r="K10" s="81">
        <f>HLOOKUP(TFP!$C$14,'current consumption'!$C$5:$S$63,'current consumption'!$A11,FALSE)*100</f>
        <v>8.5179729530214026</v>
      </c>
      <c r="L10" s="151">
        <f>HLOOKUP(TFP!$C$14,'current consumption'!$C$5:$S$63,'current consumption'!$A11,FALSE)*HLOOKUP(TFP!$C$14,cost!$C$6:$S$64,cost!$A12,FALSE)*30.4</f>
        <v>1.8183660246953672</v>
      </c>
      <c r="M10" s="153">
        <f t="shared" si="2"/>
        <v>7.9856437579000367E-3</v>
      </c>
      <c r="N10" s="171"/>
      <c r="O10" s="172"/>
      <c r="P10" s="179" t="s">
        <v>402</v>
      </c>
      <c r="Q10" s="158">
        <v>19.439944794237427</v>
      </c>
      <c r="R10" s="157">
        <v>29623.694233579983</v>
      </c>
      <c r="S10" s="157">
        <v>182.83948295374208</v>
      </c>
      <c r="T10" s="317">
        <f t="shared" si="8"/>
        <v>6.5622959246592705E-4</v>
      </c>
      <c r="U10" s="318">
        <f t="shared" si="9"/>
        <v>33.318227930010828</v>
      </c>
      <c r="V10" s="156">
        <f t="shared" si="11"/>
        <v>1.4104137327765287</v>
      </c>
      <c r="W10" s="156">
        <f t="shared" si="12"/>
        <v>1.7139054808369281</v>
      </c>
      <c r="X10" s="156">
        <f t="shared" si="3"/>
        <v>277.68735225758252</v>
      </c>
      <c r="Y10" s="156" t="str">
        <f>IF(TFP!$Q$36&gt;'objective function'!Q10, "farther from current than TFP", "closer to current than TFP")</f>
        <v>farther from current than TFP</v>
      </c>
      <c r="Z10" s="173" t="str">
        <f>IF(TFP!$Q$37&gt;'objective function'!R10, "farther from current than TFP", "closer to current than TFP")</f>
        <v>closer to current than TFP</v>
      </c>
    </row>
    <row r="11" spans="1:26" x14ac:dyDescent="0.2">
      <c r="A11" s="282" t="s">
        <v>324</v>
      </c>
      <c r="B11" s="80">
        <f t="shared" si="4"/>
        <v>0.61788878288902527</v>
      </c>
      <c r="C11" s="78">
        <f t="shared" si="10"/>
        <v>2.2535580826415515E-2</v>
      </c>
      <c r="D11" s="186">
        <f t="shared" si="0"/>
        <v>1.7425454222705232</v>
      </c>
      <c r="E11" s="78">
        <f t="shared" si="5"/>
        <v>3.4320849077329079E-5</v>
      </c>
      <c r="F11" s="186">
        <f t="shared" si="6"/>
        <v>0.30690411703035819</v>
      </c>
      <c r="G11" s="78">
        <f t="shared" si="7"/>
        <v>3.11894359965167E-4</v>
      </c>
      <c r="H11" s="185">
        <f>calculations!H12</f>
        <v>2.8639915919547072E-2</v>
      </c>
      <c r="I11" s="184">
        <f>TFP!E23</f>
        <v>1.2019351666226698E-2</v>
      </c>
      <c r="J11" s="80" t="str">
        <f t="shared" si="1"/>
        <v>0</v>
      </c>
      <c r="K11" s="81">
        <f>HLOOKUP(TFP!$C$14,'current consumption'!$C$5:$S$63,'current consumption'!$A12,FALSE)*100</f>
        <v>9.8339162468257832</v>
      </c>
      <c r="L11" s="151">
        <f>HLOOKUP(TFP!$C$14,'current consumption'!$C$5:$S$63,'current consumption'!$A12,FALSE)*HLOOKUP(TFP!$C$14,cost!$C$6:$S$64,cost!$A13,FALSE)*30.4</f>
        <v>4.1270127314217513</v>
      </c>
      <c r="M11" s="153">
        <f t="shared" si="2"/>
        <v>1.8124433150346276E-2</v>
      </c>
      <c r="N11" s="171"/>
      <c r="O11" s="172"/>
      <c r="P11" s="179" t="s">
        <v>257</v>
      </c>
      <c r="Q11" s="158">
        <v>95.70624491811931</v>
      </c>
      <c r="R11" s="157">
        <v>132316.12259705708</v>
      </c>
      <c r="S11" s="157">
        <v>199.29434119070413</v>
      </c>
      <c r="T11" s="317">
        <f t="shared" si="8"/>
        <v>7.2331506576544711E-4</v>
      </c>
      <c r="U11" s="318">
        <f t="shared" si="9"/>
        <v>36.724305796427863</v>
      </c>
      <c r="V11" s="156">
        <f t="shared" si="11"/>
        <v>0.28648459800786891</v>
      </c>
      <c r="W11" s="156">
        <f t="shared" si="12"/>
        <v>0.38371901256649493</v>
      </c>
      <c r="X11" s="156">
        <f t="shared" si="3"/>
        <v>254.75992748327087</v>
      </c>
      <c r="Y11" s="156" t="str">
        <f>IF(TFP!$Q$36&gt;'objective function'!Q11, "farther from current than TFP", "closer to current than TFP")</f>
        <v>closer to current than TFP</v>
      </c>
      <c r="Z11" s="173" t="str">
        <f>IF(TFP!$Q$37&gt;'objective function'!R11, "farther from current than TFP", "closer to current than TFP")</f>
        <v>closer to current than TFP</v>
      </c>
    </row>
    <row r="12" spans="1:26" x14ac:dyDescent="0.2">
      <c r="A12" s="282" t="s">
        <v>616</v>
      </c>
      <c r="B12" s="80">
        <f t="shared" si="4"/>
        <v>1.1172453146962566E-2</v>
      </c>
      <c r="C12" s="78">
        <f t="shared" si="10"/>
        <v>4.0748064683338871E-4</v>
      </c>
      <c r="D12" s="186">
        <f t="shared" si="0"/>
        <v>0.97661291015243279</v>
      </c>
      <c r="E12" s="78">
        <f t="shared" si="5"/>
        <v>1.9235185417800391E-5</v>
      </c>
      <c r="F12" s="186">
        <f t="shared" si="6"/>
        <v>3.6312398320657947E-2</v>
      </c>
      <c r="G12" s="78">
        <f t="shared" si="7"/>
        <v>3.6902835786662033E-5</v>
      </c>
      <c r="H12" s="185">
        <f>calculations!H13</f>
        <v>29.876250388438386</v>
      </c>
      <c r="I12" s="184">
        <f>TFP!E24</f>
        <v>5.7609264000189029</v>
      </c>
      <c r="J12" s="80" t="str">
        <f t="shared" si="1"/>
        <v>0</v>
      </c>
      <c r="K12" s="81">
        <f>HLOOKUP(TFP!$C$14,'current consumption'!$C$5:$S$63,'current consumption'!$A13,FALSE)*100</f>
        <v>1.424671937567018</v>
      </c>
      <c r="L12" s="151">
        <f>HLOOKUP(TFP!$C$14,'current consumption'!$C$5:$S$63,'current consumption'!$A13,FALSE)*HLOOKUP(TFP!$C$14,cost!$C$6:$S$64,cost!$A14,FALSE)*30.4</f>
        <v>0.27471419839459027</v>
      </c>
      <c r="M12" s="153">
        <f t="shared" si="2"/>
        <v>1.2064511181041212E-3</v>
      </c>
      <c r="N12" s="171"/>
      <c r="O12" s="172"/>
      <c r="P12" s="179" t="s">
        <v>258</v>
      </c>
      <c r="Q12" s="158">
        <v>46.967404112605323</v>
      </c>
      <c r="R12" s="157">
        <v>121931.01886088063</v>
      </c>
      <c r="S12" s="157">
        <v>433.27031308865037</v>
      </c>
      <c r="T12" s="317">
        <f t="shared" si="8"/>
        <v>3.8519651973214147E-4</v>
      </c>
      <c r="U12" s="318">
        <f t="shared" si="9"/>
        <v>19.55727932666916</v>
      </c>
      <c r="V12" s="156">
        <f t="shared" si="11"/>
        <v>0.58377433499356191</v>
      </c>
      <c r="W12" s="156">
        <f t="shared" si="12"/>
        <v>0.41640111256266538</v>
      </c>
      <c r="X12" s="156">
        <f t="shared" si="3"/>
        <v>117.18368504786446</v>
      </c>
      <c r="Y12" s="156" t="str">
        <f>IF(TFP!$Q$36&gt;'objective function'!Q12, "farther from current than TFP", "closer to current than TFP")</f>
        <v>closer to current than TFP</v>
      </c>
      <c r="Z12" s="173" t="str">
        <f>IF(TFP!$Q$37&gt;'objective function'!R12, "farther from current than TFP", "closer to current than TFP")</f>
        <v>closer to current than TFP</v>
      </c>
    </row>
    <row r="13" spans="1:26" x14ac:dyDescent="0.2">
      <c r="A13" s="282" t="s">
        <v>617</v>
      </c>
      <c r="B13" s="80">
        <f t="shared" si="4"/>
        <v>0.60668002692774137</v>
      </c>
      <c r="C13" s="78">
        <f t="shared" si="10"/>
        <v>2.2126776146796583E-2</v>
      </c>
      <c r="D13" s="186">
        <f>M13*((H13-K13)^2)</f>
        <v>2.8567008636427857</v>
      </c>
      <c r="E13" s="78">
        <f t="shared" si="5"/>
        <v>5.6265046492968083E-5</v>
      </c>
      <c r="F13" s="186">
        <f t="shared" si="6"/>
        <v>0.68650324682707786</v>
      </c>
      <c r="G13" s="78">
        <f t="shared" si="7"/>
        <v>6.9766574933877688E-4</v>
      </c>
      <c r="H13" s="185">
        <f>calculations!H14</f>
        <v>7.0504458940599188E-2</v>
      </c>
      <c r="I13" s="184">
        <f>TFP!E25</f>
        <v>3.4562527870950641E-2</v>
      </c>
      <c r="J13" s="80" t="str">
        <f t="shared" si="1"/>
        <v>0</v>
      </c>
      <c r="K13" s="81">
        <f>HLOOKUP(TFP!$C$14,'current consumption'!$C$5:$S$63,'current consumption'!$A14,FALSE)*100</f>
        <v>11.035822967314928</v>
      </c>
      <c r="L13" s="151">
        <f>HLOOKUP(TFP!$C$14,'current consumption'!$C$5:$S$63,'current consumption'!$A14,FALSE)*HLOOKUP(TFP!$C$14,cost!$C$6:$S$64,cost!$A15,FALSE)*30.4</f>
        <v>5.4099548399918245</v>
      </c>
      <c r="M13" s="153">
        <f t="shared" si="2"/>
        <v>2.3758677577436299E-2</v>
      </c>
      <c r="N13" s="171"/>
      <c r="O13" s="172"/>
      <c r="P13" s="336" t="s">
        <v>654</v>
      </c>
      <c r="Q13" s="158">
        <v>51.813474406665819</v>
      </c>
      <c r="R13" s="157">
        <v>47760.563271478</v>
      </c>
      <c r="S13" s="157">
        <v>2526.3230855046095</v>
      </c>
      <c r="T13" s="317">
        <f t="shared" si="8"/>
        <v>1.0848589475829771E-3</v>
      </c>
      <c r="U13" s="318">
        <f t="shared" si="9"/>
        <v>55.080688378676044</v>
      </c>
      <c r="V13" s="156">
        <f t="shared" si="11"/>
        <v>0.52917441681314226</v>
      </c>
      <c r="W13" s="156">
        <f t="shared" si="12"/>
        <v>1.0630572261255249</v>
      </c>
      <c r="X13" s="156">
        <f t="shared" si="3"/>
        <v>20.097275839692831</v>
      </c>
      <c r="Y13" s="156" t="str">
        <f>IF(TFP!$Q$36&gt;'objective function'!Q13, "farther from current than TFP", "closer to current than TFP")</f>
        <v>closer to current than TFP</v>
      </c>
      <c r="Z13" s="173" t="str">
        <f>IF(TFP!$Q$37&gt;'objective function'!R13, "farther from current than TFP", "closer to current than TFP")</f>
        <v>closer to current than TFP</v>
      </c>
    </row>
    <row r="14" spans="1:26" x14ac:dyDescent="0.2">
      <c r="A14" s="282" t="s">
        <v>562</v>
      </c>
      <c r="B14" s="80">
        <f t="shared" si="4"/>
        <v>5.9836534827453717E-3</v>
      </c>
      <c r="C14" s="78">
        <f t="shared" si="10"/>
        <v>2.182352397905395E-4</v>
      </c>
      <c r="D14" s="186">
        <f t="shared" si="0"/>
        <v>0.20733157950375664</v>
      </c>
      <c r="E14" s="78">
        <f t="shared" si="5"/>
        <v>4.0835640541529526E-6</v>
      </c>
      <c r="F14" s="186">
        <f t="shared" si="6"/>
        <v>1.182322139635709E-2</v>
      </c>
      <c r="G14" s="78">
        <f t="shared" si="7"/>
        <v>1.2015466282514857E-5</v>
      </c>
      <c r="H14" s="185">
        <f>calculations!H15</f>
        <v>11.365176358668512</v>
      </c>
      <c r="I14" s="184">
        <f>TFP!E26</f>
        <v>2.7140094915574737</v>
      </c>
      <c r="J14" s="80" t="str">
        <f t="shared" si="1"/>
        <v>0</v>
      </c>
      <c r="K14" s="81">
        <f>HLOOKUP(TFP!$C$14,'current consumption'!$C$5:$S$63,'current consumption'!$A15,FALSE)*100</f>
        <v>2.5361649090094796</v>
      </c>
      <c r="L14" s="151">
        <f>HLOOKUP(TFP!$C$14,'current consumption'!$C$5:$S$63,'current consumption'!$A15,FALSE)*HLOOKUP(TFP!$C$14,cost!$C$6:$S$64,cost!$A16,FALSE)*30.4</f>
        <v>0.60563738018519608</v>
      </c>
      <c r="M14" s="153">
        <f t="shared" si="2"/>
        <v>2.6597529314468411E-3</v>
      </c>
      <c r="N14" s="171"/>
      <c r="O14" s="172"/>
      <c r="P14" s="179" t="s">
        <v>260</v>
      </c>
      <c r="Q14" s="158">
        <v>5.6445079494264778</v>
      </c>
      <c r="R14" s="157">
        <v>26823.741781217781</v>
      </c>
      <c r="S14" s="157">
        <v>409.22161734232924</v>
      </c>
      <c r="T14" s="317">
        <f t="shared" si="8"/>
        <v>2.104295513826789E-4</v>
      </c>
      <c r="U14" s="318">
        <f t="shared" si="9"/>
        <v>10.683973774837128</v>
      </c>
      <c r="V14" s="156">
        <f t="shared" si="11"/>
        <v>4.8575297170049971</v>
      </c>
      <c r="W14" s="156">
        <f t="shared" si="12"/>
        <v>1.8928087037104264</v>
      </c>
      <c r="X14" s="156">
        <f t="shared" si="3"/>
        <v>124.0702097785249</v>
      </c>
      <c r="Y14" s="156" t="str">
        <f>IF(TFP!$Q$36&gt;'objective function'!Q14, "farther from current than TFP", "closer to current than TFP")</f>
        <v>farther from current than TFP</v>
      </c>
      <c r="Z14" s="173" t="str">
        <f>IF(TFP!$Q$37&gt;'objective function'!R14, "farther from current than TFP", "closer to current than TFP")</f>
        <v>closer to current than TFP</v>
      </c>
    </row>
    <row r="15" spans="1:26" x14ac:dyDescent="0.2">
      <c r="A15" s="282" t="s">
        <v>571</v>
      </c>
      <c r="B15" s="80">
        <f t="shared" si="4"/>
        <v>0.31526430123569754</v>
      </c>
      <c r="C15" s="78">
        <f t="shared" si="10"/>
        <v>1.1498289561046281E-2</v>
      </c>
      <c r="D15" s="186">
        <f t="shared" si="0"/>
        <v>0.78845668000067415</v>
      </c>
      <c r="E15" s="78">
        <f t="shared" si="5"/>
        <v>1.5529295461954422E-5</v>
      </c>
      <c r="F15" s="186">
        <f t="shared" si="6"/>
        <v>0.17414035564343955</v>
      </c>
      <c r="G15" s="78">
        <f t="shared" si="7"/>
        <v>1.7697186760822953E-4</v>
      </c>
      <c r="H15" s="185">
        <f>calculations!H16</f>
        <v>7.5500631186659201E-2</v>
      </c>
      <c r="I15" s="184">
        <f>TFP!E27</f>
        <v>3.5482268455820497E-2</v>
      </c>
      <c r="J15" s="80" t="str">
        <f t="shared" si="1"/>
        <v>0</v>
      </c>
      <c r="K15" s="81">
        <f>HLOOKUP(TFP!$C$14,'current consumption'!$C$5:$S$63,'current consumption'!$A16,FALSE)*100</f>
        <v>7.3064018827389958</v>
      </c>
      <c r="L15" s="151">
        <f>HLOOKUP(TFP!$C$14,'current consumption'!$C$5:$S$63,'current consumption'!$A16,FALSE)*HLOOKUP(TFP!$C$14,cost!$C$6:$S$64,cost!$A17,FALSE)*30.4</f>
        <v>3.4337158375341614</v>
      </c>
      <c r="M15" s="153">
        <f t="shared" si="2"/>
        <v>1.5079709515030642E-2</v>
      </c>
      <c r="N15" s="171"/>
      <c r="O15" s="172"/>
      <c r="P15" s="282" t="s">
        <v>110</v>
      </c>
      <c r="Q15" s="158">
        <v>18.394830224921797</v>
      </c>
      <c r="R15" s="157">
        <v>18647.431040976473</v>
      </c>
      <c r="S15" s="157">
        <v>243.55914597901685</v>
      </c>
      <c r="T15" s="317">
        <f t="shared" si="8"/>
        <v>9.8645385439422723E-4</v>
      </c>
      <c r="U15" s="318">
        <f t="shared" si="9"/>
        <v>50.084444134315845</v>
      </c>
      <c r="V15" s="156">
        <f t="shared" si="11"/>
        <v>1.4905473313400273</v>
      </c>
      <c r="W15" s="156">
        <f>$D$63/R15</f>
        <v>2.722745658530739</v>
      </c>
      <c r="X15" s="156">
        <f t="shared" si="3"/>
        <v>208.45947585127502</v>
      </c>
      <c r="Y15" s="156" t="str">
        <f>IF(TFP!$Q$36&gt;'objective function'!Q15, "farther from current than TFP", "closer to current than TFP")</f>
        <v>farther from current than TFP</v>
      </c>
      <c r="Z15" s="173" t="str">
        <f>IF(TFP!$Q$37&gt;'objective function'!R15, "farther from current than TFP", "closer to current than TFP")</f>
        <v>closer to current than TFP</v>
      </c>
    </row>
    <row r="16" spans="1:26" x14ac:dyDescent="0.2">
      <c r="A16" s="282" t="s">
        <v>450</v>
      </c>
      <c r="B16" s="80">
        <f t="shared" si="4"/>
        <v>2.928863206343342E-3</v>
      </c>
      <c r="C16" s="78">
        <f t="shared" si="10"/>
        <v>1.0682121984389438E-4</v>
      </c>
      <c r="D16" s="186">
        <f t="shared" si="0"/>
        <v>5.2533170419845628E-2</v>
      </c>
      <c r="E16" s="78">
        <f t="shared" si="5"/>
        <v>1.0346835098185602E-6</v>
      </c>
      <c r="F16" s="186">
        <f t="shared" si="6"/>
        <v>1.0873050049312644E-3</v>
      </c>
      <c r="G16" s="78">
        <f t="shared" si="7"/>
        <v>1.1049845205120337E-6</v>
      </c>
      <c r="H16" s="185">
        <f>calculations!H17</f>
        <v>18.450620782529153</v>
      </c>
      <c r="I16" s="184">
        <f>TFP!E28</f>
        <v>2.6544214037336884</v>
      </c>
      <c r="J16" s="80" t="str">
        <f t="shared" si="1"/>
        <v>0</v>
      </c>
      <c r="K16" s="81">
        <f>HLOOKUP(TFP!$C$14,'current consumption'!$C$5:$S$63,'current consumption'!$A17,FALSE)*100</f>
        <v>0.25102835212736585</v>
      </c>
      <c r="L16" s="151">
        <f>HLOOKUP(TFP!$C$14,'current consumption'!$C$5:$S$63,'current consumption'!$A17,FALSE)*HLOOKUP(TFP!$C$14,cost!$C$6:$S$64,cost!$A18,FALSE)*30.4</f>
        <v>3.6114504692537394E-2</v>
      </c>
      <c r="M16" s="153">
        <f t="shared" si="2"/>
        <v>1.5860259433516876E-4</v>
      </c>
      <c r="N16" s="171"/>
      <c r="O16" s="172"/>
      <c r="P16" s="179" t="s">
        <v>261</v>
      </c>
      <c r="Q16" s="158">
        <v>37.393985617063663</v>
      </c>
      <c r="R16" s="157">
        <v>29762.930916289115</v>
      </c>
      <c r="S16" s="157">
        <v>106.09250973777786</v>
      </c>
      <c r="T16" s="317">
        <f t="shared" si="8"/>
        <v>1.2563945977712198E-3</v>
      </c>
      <c r="U16" s="318">
        <f t="shared" si="9"/>
        <v>63.789932760079374</v>
      </c>
      <c r="V16" s="156">
        <f t="shared" si="11"/>
        <v>0.73322927871316501</v>
      </c>
      <c r="W16" s="156">
        <f t="shared" si="12"/>
        <v>1.7058875032291472</v>
      </c>
      <c r="X16" s="156">
        <f t="shared" si="3"/>
        <v>478.56547116342614</v>
      </c>
      <c r="Y16" s="156" t="str">
        <f>IF(TFP!$Q$36&gt;'objective function'!Q16, "farther from current than TFP", "closer to current than TFP")</f>
        <v>closer to current than TFP</v>
      </c>
      <c r="Z16" s="173" t="str">
        <f>IF(TFP!$Q$37&gt;'objective function'!R16, "farther from current than TFP", "closer to current than TFP")</f>
        <v>closer to current than TFP</v>
      </c>
    </row>
    <row r="17" spans="1:26" x14ac:dyDescent="0.2">
      <c r="A17" s="282" t="s">
        <v>451</v>
      </c>
      <c r="B17" s="80">
        <f t="shared" si="4"/>
        <v>0.30770848450728633</v>
      </c>
      <c r="C17" s="78">
        <f t="shared" si="10"/>
        <v>1.122271453313179E-2</v>
      </c>
      <c r="D17" s="186">
        <f t="shared" si="0"/>
        <v>0.68476839196241956</v>
      </c>
      <c r="E17" s="78">
        <f t="shared" si="5"/>
        <v>1.3487070312832833E-5</v>
      </c>
      <c r="F17" s="186">
        <f t="shared" si="6"/>
        <v>0.33969718017286415</v>
      </c>
      <c r="G17" s="78">
        <f t="shared" si="7"/>
        <v>3.452206363901831E-4</v>
      </c>
      <c r="H17" s="185">
        <f>calculations!H18</f>
        <v>0.1087022276155967</v>
      </c>
      <c r="I17" s="184">
        <f>TFP!E29</f>
        <v>7.6561875247838376E-2</v>
      </c>
      <c r="J17" s="80" t="str">
        <f t="shared" si="1"/>
        <v>0</v>
      </c>
      <c r="K17" s="81">
        <f>HLOOKUP(TFP!$C$14,'current consumption'!$C$5:$S$63,'current consumption'!$A18,FALSE)*100</f>
        <v>6.1221031551431127</v>
      </c>
      <c r="L17" s="151">
        <f>HLOOKUP(TFP!$C$14,'current consumption'!$C$5:$S$63,'current consumption'!$A18,FALSE)*HLOOKUP(TFP!$C$14,cost!$C$6:$S$64,cost!$A19,FALSE)*30.4</f>
        <v>4.3119603737652605</v>
      </c>
      <c r="M17" s="153">
        <f t="shared" si="2"/>
        <v>1.8936660152809218E-2</v>
      </c>
      <c r="N17" s="171"/>
      <c r="O17" s="172"/>
      <c r="P17" s="179" t="s">
        <v>196</v>
      </c>
      <c r="Q17" s="158">
        <v>11.306135572961283</v>
      </c>
      <c r="R17" s="157">
        <v>50559.403982499047</v>
      </c>
      <c r="S17" s="157">
        <v>164.23305433476102</v>
      </c>
      <c r="T17" s="317">
        <f t="shared" si="8"/>
        <v>2.2362082387036961E-4</v>
      </c>
      <c r="U17" s="318">
        <f t="shared" si="9"/>
        <v>11.353723856939043</v>
      </c>
      <c r="V17" s="156">
        <f t="shared" si="11"/>
        <v>2.4250872391607707</v>
      </c>
      <c r="W17" s="156">
        <f t="shared" si="12"/>
        <v>1.0042090671627508</v>
      </c>
      <c r="X17" s="156">
        <f t="shared" si="3"/>
        <v>309.14734013336653</v>
      </c>
      <c r="Y17" s="156" t="str">
        <f>IF(TFP!$Q$36&gt;'objective function'!Q17, "farther from current than TFP", "closer to current than TFP")</f>
        <v>farther from current than TFP</v>
      </c>
      <c r="Z17" s="173" t="str">
        <f>IF(TFP!$Q$37&gt;'objective function'!R17, "farther from current than TFP", "closer to current than TFP")</f>
        <v>closer to current than TFP</v>
      </c>
    </row>
    <row r="18" spans="1:26" x14ac:dyDescent="0.2">
      <c r="A18" s="282" t="s">
        <v>452</v>
      </c>
      <c r="B18" s="80">
        <f t="shared" si="4"/>
        <v>0.11450540801089967</v>
      </c>
      <c r="C18" s="78">
        <f t="shared" si="10"/>
        <v>4.176230332627308E-3</v>
      </c>
      <c r="D18" s="186">
        <f t="shared" si="0"/>
        <v>7.705725259740652E-2</v>
      </c>
      <c r="E18" s="78">
        <f t="shared" si="5"/>
        <v>1.5177052505542315E-6</v>
      </c>
      <c r="F18" s="186">
        <f t="shared" si="6"/>
        <v>1.8411144737439406E-3</v>
      </c>
      <c r="G18" s="78">
        <f t="shared" si="7"/>
        <v>1.8710508870565913E-6</v>
      </c>
      <c r="H18" s="185">
        <f>calculations!H19</f>
        <v>1.3329549907864053E-2</v>
      </c>
      <c r="I18" s="184">
        <f>TFP!E30</f>
        <v>2.0603885172624154E-3</v>
      </c>
      <c r="J18" s="80" t="str">
        <f t="shared" si="1"/>
        <v>0</v>
      </c>
      <c r="K18" s="111">
        <f>HLOOKUP(TFP!$C$14,'current consumption'!$C$5:$S$63,'current consumption'!$A19,FALSE)*100</f>
        <v>4.8508046141067247</v>
      </c>
      <c r="L18" s="151">
        <f>HLOOKUP(TFP!$C$14,'current consumption'!$C$5:$S$63,'current consumption'!$A19,FALSE)*HLOOKUP(TFP!$C$14,cost!$C$6:$S$64,cost!$A20,FALSE)*30.4</f>
        <v>0.74980342138128342</v>
      </c>
      <c r="M18" s="153">
        <f t="shared" si="2"/>
        <v>3.2928810428080098E-3</v>
      </c>
      <c r="N18" s="171"/>
      <c r="O18" s="172"/>
      <c r="P18" s="179" t="s">
        <v>262</v>
      </c>
      <c r="Q18" s="158">
        <v>10.854835793173196</v>
      </c>
      <c r="R18" s="157">
        <v>65572.101305196949</v>
      </c>
      <c r="S18" s="157">
        <v>3128.7674531582934</v>
      </c>
      <c r="T18" s="317">
        <f t="shared" si="8"/>
        <v>1.6554045969414269E-4</v>
      </c>
      <c r="U18" s="318">
        <f t="shared" si="9"/>
        <v>8.4048552991986494</v>
      </c>
      <c r="V18" s="156">
        <f t="shared" si="11"/>
        <v>2.5259124711452539</v>
      </c>
      <c r="W18" s="156">
        <f t="shared" si="12"/>
        <v>0.77429594139826741</v>
      </c>
      <c r="X18" s="156">
        <f t="shared" si="3"/>
        <v>16.227544127103052</v>
      </c>
      <c r="Y18" s="156" t="str">
        <f>IF(TFP!$Q$36&gt;'objective function'!Q18, "farther from current than TFP", "closer to current than TFP")</f>
        <v>farther from current than TFP</v>
      </c>
      <c r="Z18" s="173" t="str">
        <f>IF(TFP!$Q$37&gt;'objective function'!R18, "farther from current than TFP", "closer to current than TFP")</f>
        <v>closer to current than TFP</v>
      </c>
    </row>
    <row r="19" spans="1:26" x14ac:dyDescent="0.2">
      <c r="A19" s="282" t="s">
        <v>453</v>
      </c>
      <c r="B19" s="80">
        <f t="shared" si="4"/>
        <v>0.49763366236129281</v>
      </c>
      <c r="C19" s="78">
        <f t="shared" si="10"/>
        <v>1.8149647526620068E-2</v>
      </c>
      <c r="D19" s="186">
        <f t="shared" si="0"/>
        <v>2.6904962140080375</v>
      </c>
      <c r="E19" s="78">
        <f t="shared" si="5"/>
        <v>5.2991510765771998E-5</v>
      </c>
      <c r="F19" s="186">
        <f t="shared" si="6"/>
        <v>0.1604824599057133</v>
      </c>
      <c r="G19" s="78">
        <f t="shared" si="7"/>
        <v>1.6309189528720741E-4</v>
      </c>
      <c r="H19" s="185">
        <f>calculations!H20</f>
        <v>3.9686545783755842E-2</v>
      </c>
      <c r="I19" s="184">
        <f>TFP!E31</f>
        <v>9.6926134798603486E-3</v>
      </c>
      <c r="J19" s="80" t="str">
        <f t="shared" si="1"/>
        <v>0</v>
      </c>
      <c r="K19" s="111">
        <f>HLOOKUP(TFP!$C$14,'current consumption'!$C$5:$S$63,'current consumption'!$A20,FALSE)*100</f>
        <v>13.613840169649869</v>
      </c>
      <c r="L19" s="151">
        <f>HLOOKUP(TFP!$C$14,'current consumption'!$C$5:$S$63,'current consumption'!$A20,FALSE)*HLOOKUP(TFP!$C$14,cost!$C$6:$S$64,cost!$A21,FALSE)*30.4</f>
        <v>3.3248973458159403</v>
      </c>
      <c r="M19" s="153">
        <f t="shared" si="2"/>
        <v>1.4601815792132199E-2</v>
      </c>
      <c r="N19" s="171"/>
      <c r="O19" s="172"/>
      <c r="P19" s="336" t="s">
        <v>655</v>
      </c>
      <c r="Q19" s="158">
        <v>27.582045921528092</v>
      </c>
      <c r="R19" s="157">
        <v>51660.364282514885</v>
      </c>
      <c r="S19" s="157">
        <v>492.95439979560314</v>
      </c>
      <c r="T19" s="317">
        <f t="shared" si="8"/>
        <v>5.3391117744912211E-4</v>
      </c>
      <c r="U19" s="318">
        <f t="shared" si="9"/>
        <v>27.107851442334876</v>
      </c>
      <c r="V19" s="156">
        <f t="shared" si="11"/>
        <v>0.99406567519379407</v>
      </c>
      <c r="W19" s="156">
        <f t="shared" si="12"/>
        <v>0.98280785694642381</v>
      </c>
      <c r="X19" s="156">
        <f t="shared" si="3"/>
        <v>102.99575768189115</v>
      </c>
      <c r="Y19" s="156" t="str">
        <f>IF(TFP!$Q$36&gt;'objective function'!Q19, "farther from current than TFP", "closer to current than TFP")</f>
        <v>closer to current than TFP</v>
      </c>
      <c r="Z19" s="173" t="str">
        <f>IF(TFP!$Q$37&gt;'objective function'!R19, "farther from current than TFP", "closer to current than TFP")</f>
        <v>closer to current than TFP</v>
      </c>
    </row>
    <row r="20" spans="1:26" x14ac:dyDescent="0.2">
      <c r="A20" s="282" t="s">
        <v>445</v>
      </c>
      <c r="B20" s="80">
        <f t="shared" si="4"/>
        <v>2.1672864623120396E-2</v>
      </c>
      <c r="C20" s="78">
        <f t="shared" si="10"/>
        <v>7.904506538711695E-4</v>
      </c>
      <c r="D20" s="186">
        <f t="shared" si="0"/>
        <v>10.90362775429807</v>
      </c>
      <c r="E20" s="78">
        <f t="shared" si="5"/>
        <v>2.1475581512419493E-4</v>
      </c>
      <c r="F20" s="186">
        <f t="shared" si="6"/>
        <v>0.31471877065318427</v>
      </c>
      <c r="G20" s="78">
        <f t="shared" si="7"/>
        <v>3.1983607939736254E-4</v>
      </c>
      <c r="H20" s="185">
        <f>calculations!H21</f>
        <v>84.25306315009577</v>
      </c>
      <c r="I20" s="184">
        <f>TFP!E32</f>
        <v>14.314016521031771</v>
      </c>
      <c r="J20" s="80" t="str">
        <f t="shared" si="1"/>
        <v>0</v>
      </c>
      <c r="K20" s="111">
        <f>HLOOKUP(TFP!$C$14,'current consumption'!$C$5:$S$63,'current consumption'!$A21,FALSE)*100</f>
        <v>2.1689437584492781</v>
      </c>
      <c r="L20" s="151">
        <f>HLOOKUP(TFP!$C$14,'current consumption'!$C$5:$S$63,'current consumption'!$A21,FALSE)*HLOOKUP(TFP!$C$14,cost!$C$6:$S$64,cost!$A22,FALSE)*30.4</f>
        <v>0.36848864160966016</v>
      </c>
      <c r="M20" s="153">
        <f t="shared" si="2"/>
        <v>1.6182765080095612E-3</v>
      </c>
      <c r="N20" s="171"/>
      <c r="O20" s="172"/>
      <c r="P20" s="179" t="s">
        <v>231</v>
      </c>
      <c r="Q20" s="158">
        <v>14.528788657319085</v>
      </c>
      <c r="R20" s="157">
        <v>26085.932798756559</v>
      </c>
      <c r="S20" s="157">
        <v>96.948035938497384</v>
      </c>
      <c r="T20" s="317">
        <f t="shared" si="8"/>
        <v>5.5695875510388608E-4</v>
      </c>
      <c r="U20" s="318">
        <f t="shared" si="9"/>
        <v>28.278027939024824</v>
      </c>
      <c r="V20" s="156">
        <f t="shared" si="11"/>
        <v>1.8871748876598644</v>
      </c>
      <c r="W20" s="156">
        <f t="shared" si="12"/>
        <v>1.946344503041509</v>
      </c>
      <c r="X20" s="156">
        <f t="shared" si="3"/>
        <v>523.70542031175637</v>
      </c>
      <c r="Y20" s="156" t="str">
        <f>IF(TFP!$Q$36&gt;'objective function'!Q20, "farther from current than TFP", "closer to current than TFP")</f>
        <v>farther from current than TFP</v>
      </c>
      <c r="Z20" s="173" t="str">
        <f>IF(TFP!$Q$37&gt;'objective function'!R20, "farther from current than TFP", "closer to current than TFP")</f>
        <v>closer to current than TFP</v>
      </c>
    </row>
    <row r="21" spans="1:26" ht="13.5" thickBot="1" x14ac:dyDescent="0.25">
      <c r="A21" s="282" t="s">
        <v>446</v>
      </c>
      <c r="B21" s="80">
        <f t="shared" si="4"/>
        <v>0.45019349715218715</v>
      </c>
      <c r="C21" s="78">
        <f t="shared" si="10"/>
        <v>1.6419414340496156E-2</v>
      </c>
      <c r="D21" s="186">
        <f t="shared" si="0"/>
        <v>4.3333635603209268</v>
      </c>
      <c r="E21" s="78">
        <f t="shared" si="5"/>
        <v>8.534911908189159E-5</v>
      </c>
      <c r="F21" s="186">
        <f t="shared" si="6"/>
        <v>0.45570656551164257</v>
      </c>
      <c r="G21" s="78">
        <f t="shared" si="7"/>
        <v>4.6311632752752817E-4</v>
      </c>
      <c r="H21" s="185">
        <f>calculations!H22</f>
        <v>0.13863468692262154</v>
      </c>
      <c r="I21" s="184">
        <f>TFP!E33</f>
        <v>4.4957482647643349E-2</v>
      </c>
      <c r="J21" s="80" t="str">
        <f t="shared" si="1"/>
        <v>0</v>
      </c>
      <c r="K21" s="111">
        <f>HLOOKUP(TFP!$C$14,'current consumption'!$C$5:$S$63,'current consumption'!$A22,FALSE)*100</f>
        <v>14.583251580375101</v>
      </c>
      <c r="L21" s="151">
        <f>HLOOKUP(TFP!$C$14,'current consumption'!$C$5:$S$63,'current consumption'!$A22,FALSE)*HLOOKUP(TFP!$C$14,cost!$C$6:$S$64,cost!$A23,FALSE)*30.4</f>
        <v>4.7291647885847397</v>
      </c>
      <c r="M21" s="153">
        <f t="shared" si="2"/>
        <v>2.0768879731114229E-2</v>
      </c>
      <c r="N21" s="171"/>
      <c r="O21" s="172"/>
      <c r="P21" s="283" t="s">
        <v>109</v>
      </c>
      <c r="Q21" s="180">
        <v>15.617889930246493</v>
      </c>
      <c r="R21" s="181">
        <v>22694.794261032595</v>
      </c>
      <c r="S21" s="181">
        <v>133.68352335905746</v>
      </c>
      <c r="T21" s="317">
        <f t="shared" si="8"/>
        <v>6.8817058884127955E-4</v>
      </c>
      <c r="U21" s="318">
        <f t="shared" si="9"/>
        <v>34.939942966583033</v>
      </c>
      <c r="V21" s="182">
        <f t="shared" si="11"/>
        <v>1.7555742308767393</v>
      </c>
      <c r="W21" s="182">
        <f t="shared" si="12"/>
        <v>2.2371743636710075</v>
      </c>
      <c r="X21" s="156">
        <f t="shared" si="3"/>
        <v>379.79408855945644</v>
      </c>
      <c r="Y21" s="182" t="str">
        <f>IF(TFP!$Q$36&gt;'objective function'!Q21, "farther from current than TFP", "closer to current than TFP")</f>
        <v>farther from current than TFP</v>
      </c>
      <c r="Z21" s="183" t="str">
        <f>IF(TFP!$Q$37&gt;'objective function'!R21, "farther from current than TFP", "closer to current than TFP")</f>
        <v>closer to current than TFP</v>
      </c>
    </row>
    <row r="22" spans="1:26" x14ac:dyDescent="0.2">
      <c r="A22" s="88" t="s">
        <v>578</v>
      </c>
      <c r="B22" s="80">
        <f t="shared" si="4"/>
        <v>0.40189844614260012</v>
      </c>
      <c r="C22" s="78">
        <f t="shared" si="10"/>
        <v>1.4658001840897694E-2</v>
      </c>
      <c r="D22" s="186">
        <f t="shared" si="0"/>
        <v>0.98180110113255392</v>
      </c>
      <c r="E22" s="78">
        <f t="shared" si="5"/>
        <v>1.9337371058035285E-5</v>
      </c>
      <c r="F22" s="186">
        <f t="shared" si="6"/>
        <v>3.9640872008893963E-2</v>
      </c>
      <c r="G22" s="78">
        <f t="shared" si="7"/>
        <v>4.0285430261765091E-5</v>
      </c>
      <c r="H22" s="185">
        <f>calculations!H23</f>
        <v>1.3736453293517772E-2</v>
      </c>
      <c r="I22" s="184">
        <f>TFP!E34</f>
        <v>2.7601612600632879E-3</v>
      </c>
      <c r="J22" s="80" t="str">
        <f t="shared" si="1"/>
        <v>0</v>
      </c>
      <c r="K22" s="111">
        <f>HLOOKUP(TFP!$C$14,'current consumption'!$C$5:$S$63,'current consumption'!$A23,FALSE)*100</f>
        <v>10.371193734590573</v>
      </c>
      <c r="L22" s="151">
        <f>HLOOKUP(TFP!$C$14,'current consumption'!$C$5:$S$63,'current consumption'!$A23,FALSE)*HLOOKUP(TFP!$C$14,cost!$C$6:$S$64,cost!$A24,FALSE)*30.4</f>
        <v>2.0839562116326391</v>
      </c>
      <c r="M22" s="153">
        <f t="shared" si="2"/>
        <v>9.1520253277660082E-3</v>
      </c>
      <c r="N22" s="171"/>
      <c r="O22" s="172"/>
    </row>
    <row r="23" spans="1:26" x14ac:dyDescent="0.2">
      <c r="A23" s="282" t="s">
        <v>447</v>
      </c>
      <c r="B23" s="80">
        <f t="shared" si="4"/>
        <v>0.41715639897883328</v>
      </c>
      <c r="C23" s="78">
        <f t="shared" si="10"/>
        <v>1.5214488443193442E-2</v>
      </c>
      <c r="D23" s="186">
        <f t="shared" si="0"/>
        <v>3.0459490772929323</v>
      </c>
      <c r="E23" s="78">
        <f t="shared" si="5"/>
        <v>5.9992443951783055E-5</v>
      </c>
      <c r="F23" s="186">
        <f t="shared" si="6"/>
        <v>0.21259366210435696</v>
      </c>
      <c r="G23" s="78">
        <f t="shared" si="7"/>
        <v>2.1605042257589034E-4</v>
      </c>
      <c r="H23" s="185">
        <f>calculations!H24</f>
        <v>8.4893501589548864E-2</v>
      </c>
      <c r="I23" s="184">
        <f>TFP!E35</f>
        <v>2.2427883139873865E-2</v>
      </c>
      <c r="J23" s="80" t="str">
        <f t="shared" si="1"/>
        <v>0</v>
      </c>
      <c r="K23" s="111">
        <f>HLOOKUP(TFP!$C$14,'current consumption'!$C$5:$S$63,'current consumption'!$A24,FALSE)*100</f>
        <v>13.851813120062967</v>
      </c>
      <c r="L23" s="151">
        <f>HLOOKUP(TFP!$C$14,'current consumption'!$C$5:$S$63,'current consumption'!$A24,FALSE)*HLOOKUP(TFP!$C$14,cost!$C$6:$S$64,cost!$A25,FALSE)*30.4</f>
        <v>3.6594891259661457</v>
      </c>
      <c r="M23" s="153">
        <f t="shared" si="2"/>
        <v>1.6071228838962955E-2</v>
      </c>
      <c r="N23" s="171"/>
      <c r="O23" s="172"/>
      <c r="S23" s="52"/>
      <c r="U23">
        <f>VLOOKUP(TFP!$C$14, P5:Z21, 6, FALSE)</f>
        <v>27.107851442334876</v>
      </c>
      <c r="V23">
        <f>IF($B$63="undefined","undefined",VLOOKUP(TFP!$C$14,P5:X21,7,FALSE))</f>
        <v>0.99406567519379407</v>
      </c>
      <c r="W23">
        <f>VLOOKUP(TFP!$C$14,P5:X21,8,FALSE)</f>
        <v>0.98280785694642381</v>
      </c>
      <c r="X23">
        <f>VLOOKUP(TFP!$C$14,P5:X21,9,FALSE)</f>
        <v>102.99575768189115</v>
      </c>
    </row>
    <row r="24" spans="1:26" x14ac:dyDescent="0.2">
      <c r="A24" s="88" t="s">
        <v>579</v>
      </c>
      <c r="B24" s="80">
        <f t="shared" si="4"/>
        <v>0.37294014714403773</v>
      </c>
      <c r="C24" s="78">
        <f t="shared" si="10"/>
        <v>1.3601837518531581E-2</v>
      </c>
      <c r="D24" s="186">
        <f t="shared" si="0"/>
        <v>7.397760507833441</v>
      </c>
      <c r="E24" s="78">
        <f t="shared" si="5"/>
        <v>1.4570490883890447E-4</v>
      </c>
      <c r="F24" s="186">
        <f t="shared" si="6"/>
        <v>6.532350856687362E-2</v>
      </c>
      <c r="G24" s="78">
        <f t="shared" si="7"/>
        <v>6.6385664983206475E-5</v>
      </c>
      <c r="H24" s="185">
        <f>calculations!H25</f>
        <v>7.3966756821391463E-2</v>
      </c>
      <c r="I24" s="184">
        <f>TFP!E36</f>
        <v>6.9505823717141051E-3</v>
      </c>
      <c r="J24" s="80" t="str">
        <f t="shared" si="1"/>
        <v>0</v>
      </c>
      <c r="K24" s="111">
        <f>HLOOKUP(TFP!$C$14,'current consumption'!$C$5:$S$63,'current consumption'!$A25,FALSE)*100</f>
        <v>26.220858125590716</v>
      </c>
      <c r="L24" s="151">
        <f>HLOOKUP(TFP!$C$14,'current consumption'!$C$5:$S$63,'current consumption'!$A25,FALSE)*HLOOKUP(TFP!$C$14,cost!$C$6:$S$64,cost!$A26,FALSE)*30.4</f>
        <v>2.4639478880901797</v>
      </c>
      <c r="M24" s="153">
        <f t="shared" si="2"/>
        <v>1.0820819243812421E-2</v>
      </c>
      <c r="N24" s="171"/>
      <c r="O24" s="172"/>
    </row>
    <row r="25" spans="1:26" x14ac:dyDescent="0.2">
      <c r="A25" s="88" t="s">
        <v>580</v>
      </c>
      <c r="B25" s="80">
        <f t="shared" si="4"/>
        <v>1.4126076197201685</v>
      </c>
      <c r="C25" s="78">
        <f t="shared" si="10"/>
        <v>5.1520490534510584E-2</v>
      </c>
      <c r="D25" s="186">
        <f t="shared" si="0"/>
        <v>100.32195775508177</v>
      </c>
      <c r="E25" s="78">
        <f t="shared" si="5"/>
        <v>1.9759225367956073E-3</v>
      </c>
      <c r="F25" s="186">
        <f t="shared" si="6"/>
        <v>4.1897836485075972</v>
      </c>
      <c r="G25" s="78">
        <f t="shared" si="7"/>
        <v>4.2579092847898712E-3</v>
      </c>
      <c r="H25" s="185">
        <f>calculations!H26</f>
        <v>0.15995901866374518</v>
      </c>
      <c r="I25" s="184">
        <f>TFP!E37</f>
        <v>3.2689368472565206E-2</v>
      </c>
      <c r="J25" s="80" t="str">
        <f t="shared" si="1"/>
        <v>0</v>
      </c>
      <c r="K25" s="111">
        <f>HLOOKUP(TFP!$C$14,'current consumption'!$C$5:$S$63,'current consumption'!$A26,FALSE)*100</f>
        <v>48.278163769344289</v>
      </c>
      <c r="L25" s="151">
        <f>HLOOKUP(TFP!$C$14,'current consumption'!$C$5:$S$63,'current consumption'!$A26,FALSE)*HLOOKUP(TFP!$C$14,cost!$C$6:$S$64,cost!$A27,FALSE)*30.4</f>
        <v>9.866168833859188</v>
      </c>
      <c r="M25" s="153">
        <f t="shared" si="2"/>
        <v>4.3328850458309066E-2</v>
      </c>
      <c r="N25" s="171"/>
      <c r="O25" s="172"/>
    </row>
    <row r="26" spans="1:26" x14ac:dyDescent="0.2">
      <c r="A26" s="282" t="s">
        <v>178</v>
      </c>
      <c r="B26" s="80">
        <f t="shared" si="4"/>
        <v>7.3525046946724615</v>
      </c>
      <c r="C26" s="78">
        <f t="shared" si="10"/>
        <v>0.26815985078847071</v>
      </c>
      <c r="D26" s="186">
        <f t="shared" si="0"/>
        <v>649.18351446137319</v>
      </c>
      <c r="E26" s="78">
        <f t="shared" si="5"/>
        <v>1.2786197213893864E-2</v>
      </c>
      <c r="F26" s="186">
        <f t="shared" si="6"/>
        <v>909.66574036775728</v>
      </c>
      <c r="G26" s="78">
        <f t="shared" si="7"/>
        <v>0.9244568519300006</v>
      </c>
      <c r="H26" s="185">
        <f>calculations!H27</f>
        <v>0.24768073239644534</v>
      </c>
      <c r="I26" s="184">
        <f>TFP!E38</f>
        <v>0.29319016724571995</v>
      </c>
      <c r="J26" s="80" t="str">
        <f t="shared" si="1"/>
        <v>0</v>
      </c>
      <c r="K26" s="111">
        <f>HLOOKUP(TFP!$C$14,'current consumption'!$C$5:$S$63,'current consumption'!$A27,FALSE)*100</f>
        <v>50.148821546087362</v>
      </c>
      <c r="L26" s="151">
        <f>HLOOKUP(TFP!$C$14,'current consumption'!$C$5:$S$63,'current consumption'!$A27,FALSE)*HLOOKUP(TFP!$C$14,cost!$C$6:$S$64,cost!$A28,FALSE)*30.4</f>
        <v>59.363282860205778</v>
      </c>
      <c r="M26" s="153">
        <f t="shared" si="2"/>
        <v>0.26070330328596808</v>
      </c>
      <c r="N26" s="171"/>
      <c r="O26" s="172"/>
    </row>
    <row r="27" spans="1:26" x14ac:dyDescent="0.2">
      <c r="A27" s="88" t="s">
        <v>581</v>
      </c>
      <c r="B27" s="80">
        <f t="shared" si="4"/>
        <v>1.4875979855046515E-2</v>
      </c>
      <c r="C27" s="78">
        <f t="shared" si="10"/>
        <v>5.4255532011452561E-4</v>
      </c>
      <c r="D27" s="186">
        <f t="shared" si="0"/>
        <v>48.648942188845638</v>
      </c>
      <c r="E27" s="78">
        <f t="shared" si="5"/>
        <v>9.5818047627103324E-4</v>
      </c>
      <c r="F27" s="186">
        <f t="shared" si="6"/>
        <v>0.21879125867437632</v>
      </c>
      <c r="G27" s="78">
        <f t="shared" si="7"/>
        <v>2.2234879170248404E-4</v>
      </c>
      <c r="H27" s="185">
        <f>calculations!H28</f>
        <v>105.43619685360117</v>
      </c>
      <c r="I27" s="184">
        <f>TFP!E39</f>
        <v>7.070791234721443</v>
      </c>
      <c r="J27" s="80" t="str">
        <f t="shared" si="1"/>
        <v>0</v>
      </c>
      <c r="K27" s="111">
        <f>HLOOKUP(TFP!$C$14,'current consumption'!$C$5:$S$63,'current consumption'!$A28,FALSE)*100</f>
        <v>26.53130961693239</v>
      </c>
      <c r="L27" s="151">
        <f>HLOOKUP(TFP!$C$14,'current consumption'!$C$5:$S$63,'current consumption'!$A28,FALSE)*HLOOKUP(TFP!$C$14,cost!$C$6:$S$64,cost!$A29,FALSE)*30.4</f>
        <v>1.77924998324405</v>
      </c>
      <c r="M27" s="153">
        <f t="shared" si="2"/>
        <v>7.8138594372477617E-3</v>
      </c>
      <c r="N27" s="171"/>
      <c r="O27" s="172"/>
    </row>
    <row r="28" spans="1:26" x14ac:dyDescent="0.2">
      <c r="A28" s="88" t="s">
        <v>15</v>
      </c>
      <c r="B28" s="80">
        <f t="shared" si="4"/>
        <v>1.9734929249267751E-2</v>
      </c>
      <c r="C28" s="78">
        <f t="shared" si="10"/>
        <v>7.1977045953323514E-4</v>
      </c>
      <c r="D28" s="186">
        <f t="shared" si="0"/>
        <v>3.749263759804331</v>
      </c>
      <c r="E28" s="78">
        <f t="shared" si="5"/>
        <v>7.3844798538265656E-5</v>
      </c>
      <c r="F28" s="186">
        <f t="shared" si="6"/>
        <v>0.28794878173536981</v>
      </c>
      <c r="G28" s="78">
        <f t="shared" si="7"/>
        <v>2.9263081203051764E-4</v>
      </c>
      <c r="H28" s="185">
        <f>calculations!H29</f>
        <v>30.155583157410792</v>
      </c>
      <c r="I28" s="184">
        <f>TFP!E40</f>
        <v>8.3570376185964417</v>
      </c>
      <c r="J28" s="80" t="str">
        <f t="shared" si="1"/>
        <v>0</v>
      </c>
      <c r="K28" s="111">
        <f>HLOOKUP(TFP!$C$14,'current consumption'!$C$5:$S$63,'current consumption'!$A29,FALSE)*100</f>
        <v>4.7865909279944594</v>
      </c>
      <c r="L28" s="151">
        <f>HLOOKUP(TFP!$C$14,'current consumption'!$C$5:$S$63,'current consumption'!$A29,FALSE)*HLOOKUP(TFP!$C$14,cost!$C$6:$S$64,cost!$A30,FALSE)*30.4</f>
        <v>1.3265112546912112</v>
      </c>
      <c r="M28" s="153">
        <f t="shared" si="2"/>
        <v>5.8255852655318286E-3</v>
      </c>
      <c r="N28" s="171"/>
      <c r="O28" s="172"/>
    </row>
    <row r="29" spans="1:26" x14ac:dyDescent="0.2">
      <c r="A29" s="282" t="s">
        <v>406</v>
      </c>
      <c r="B29" s="80">
        <f t="shared" si="4"/>
        <v>2.7079239170076869E-3</v>
      </c>
      <c r="C29" s="78">
        <f t="shared" si="10"/>
        <v>9.8763143131003634E-5</v>
      </c>
      <c r="D29" s="186">
        <f t="shared" si="0"/>
        <v>0.1565961268777426</v>
      </c>
      <c r="E29" s="78">
        <f t="shared" si="5"/>
        <v>3.0842880581341361E-6</v>
      </c>
      <c r="F29" s="186">
        <f t="shared" si="6"/>
        <v>6.5515733840005046E-4</v>
      </c>
      <c r="G29" s="78">
        <f t="shared" si="7"/>
        <v>6.6581015827999875E-7</v>
      </c>
      <c r="H29" s="185">
        <f>calculations!H30</f>
        <v>29.607673775235465</v>
      </c>
      <c r="I29" s="184">
        <f>TFP!E41</f>
        <v>1.9150785136971487</v>
      </c>
      <c r="J29" s="80" t="str">
        <f t="shared" si="1"/>
        <v>0</v>
      </c>
      <c r="K29" s="111">
        <f>HLOOKUP(TFP!$C$14,'current consumption'!$C$5:$S$63,'current consumption'!$A30,FALSE)*100</f>
        <v>0.65777283131083275</v>
      </c>
      <c r="L29" s="151">
        <f>HLOOKUP(TFP!$C$14,'current consumption'!$C$5:$S$63,'current consumption'!$A30,FALSE)*HLOOKUP(TFP!$C$14,cost!$C$6:$S$64,cost!$A31,FALSE)*30.4</f>
        <v>4.2545950272889918E-2</v>
      </c>
      <c r="M29" s="153">
        <f t="shared" si="2"/>
        <v>1.8684731105089172E-4</v>
      </c>
      <c r="N29" s="171"/>
      <c r="O29" s="172"/>
      <c r="Y29" t="s">
        <v>289</v>
      </c>
    </row>
    <row r="30" spans="1:26" x14ac:dyDescent="0.2">
      <c r="A30" s="282" t="s">
        <v>407</v>
      </c>
      <c r="B30" s="80">
        <f t="shared" si="4"/>
        <v>0.808260867758548</v>
      </c>
      <c r="C30" s="78">
        <f t="shared" si="10"/>
        <v>2.9478813369999152E-2</v>
      </c>
      <c r="D30" s="186">
        <f t="shared" si="0"/>
        <v>164.40666087544474</v>
      </c>
      <c r="E30" s="78">
        <f t="shared" si="5"/>
        <v>3.2381228765110352E-3</v>
      </c>
      <c r="F30" s="186">
        <f t="shared" si="6"/>
        <v>1.2817310909689477</v>
      </c>
      <c r="G30" s="78">
        <f t="shared" si="7"/>
        <v>1.3025719633004188E-3</v>
      </c>
      <c r="H30" s="185">
        <f>calculations!H31</f>
        <v>0.39232622476482076</v>
      </c>
      <c r="I30" s="184">
        <f>TFP!E42</f>
        <v>3.4640654928415809E-2</v>
      </c>
      <c r="J30" s="80" t="str">
        <f t="shared" si="1"/>
        <v>0</v>
      </c>
      <c r="K30" s="111">
        <f>HLOOKUP(TFP!$C$14,'current consumption'!$C$5:$S$63,'current consumption'!$A31,FALSE)*100</f>
        <v>75.386696013006485</v>
      </c>
      <c r="L30" s="151">
        <f>HLOOKUP(TFP!$C$14,'current consumption'!$C$5:$S$63,'current consumption'!$A31,FALSE)*HLOOKUP(TFP!$C$14,cost!$C$6:$S$64,cost!$A32,FALSE)*30.4</f>
        <v>6.6563088520155969</v>
      </c>
      <c r="M30" s="153">
        <f t="shared" si="2"/>
        <v>2.9232239556201675E-2</v>
      </c>
      <c r="N30" s="171"/>
      <c r="O30" s="172"/>
    </row>
    <row r="31" spans="1:26" x14ac:dyDescent="0.2">
      <c r="A31" s="282" t="s">
        <v>619</v>
      </c>
      <c r="B31" s="80">
        <f t="shared" si="4"/>
        <v>0.18346735874220757</v>
      </c>
      <c r="C31" s="78">
        <f t="shared" si="10"/>
        <v>6.6914040300462404E-3</v>
      </c>
      <c r="D31" s="186">
        <f t="shared" si="0"/>
        <v>0.6283392334274065</v>
      </c>
      <c r="E31" s="78">
        <f t="shared" si="5"/>
        <v>1.2375652148985282E-5</v>
      </c>
      <c r="F31" s="186">
        <f t="shared" si="6"/>
        <v>1.5348561100334036E-2</v>
      </c>
      <c r="G31" s="78">
        <f t="shared" si="7"/>
        <v>1.5598127803223352E-5</v>
      </c>
      <c r="H31" s="185">
        <f>calculations!H32</f>
        <v>5.1778886942550624E-2</v>
      </c>
      <c r="I31" s="184">
        <f>TFP!E43</f>
        <v>8.0926257251071852E-3</v>
      </c>
      <c r="J31" s="80" t="str">
        <f t="shared" si="1"/>
        <v>0</v>
      </c>
      <c r="K31" s="111">
        <f>HLOOKUP(TFP!$C$14,'current consumption'!$C$5:$S$63,'current consumption'!$A32,FALSE)*100</f>
        <v>9.744334664586674</v>
      </c>
      <c r="L31" s="151">
        <f>HLOOKUP(TFP!$C$14,'current consumption'!$C$5:$S$63,'current consumption'!$A32,FALSE)*HLOOKUP(TFP!$C$14,cost!$C$6:$S$64,cost!$A33,FALSE)*30.4</f>
        <v>1.5229615396750609</v>
      </c>
      <c r="M31" s="153">
        <f t="shared" si="2"/>
        <v>6.6883279535897965E-3</v>
      </c>
      <c r="N31" s="171"/>
      <c r="O31" s="172"/>
    </row>
    <row r="32" spans="1:26" x14ac:dyDescent="0.2">
      <c r="A32" s="282" t="s">
        <v>11</v>
      </c>
      <c r="B32" s="80">
        <f t="shared" si="4"/>
        <v>4.2417329257596448E-2</v>
      </c>
      <c r="C32" s="78">
        <f t="shared" si="10"/>
        <v>1.5470407918004344E-3</v>
      </c>
      <c r="D32" s="186">
        <f t="shared" si="0"/>
        <v>6.5336904289704217E-3</v>
      </c>
      <c r="E32" s="78">
        <f t="shared" si="5"/>
        <v>1.2868634599980643E-7</v>
      </c>
      <c r="F32" s="186">
        <f t="shared" si="6"/>
        <v>4.8219375134368172E-4</v>
      </c>
      <c r="G32" s="78">
        <f t="shared" si="7"/>
        <v>4.90034193447017E-7</v>
      </c>
      <c r="H32" s="185">
        <f>calculations!H33</f>
        <v>2.0250753750591825E-2</v>
      </c>
      <c r="I32" s="184">
        <f>TFP!E44</f>
        <v>5.5013934370800599E-3</v>
      </c>
      <c r="J32" s="80" t="str">
        <f t="shared" si="1"/>
        <v>0</v>
      </c>
      <c r="K32" s="111">
        <f>HLOOKUP(TFP!$C$14,'current consumption'!$C$5:$S$63,'current consumption'!$A33,FALSE)*100</f>
        <v>1.7761765051654439</v>
      </c>
      <c r="L32" s="151">
        <f>HLOOKUP(TFP!$C$14,'current consumption'!$C$5:$S$63,'current consumption'!$A33,FALSE)*HLOOKUP(TFP!$C$14,cost!$C$6:$S$64,cost!$A34,FALSE)*30.4</f>
        <v>0.4825225712068818</v>
      </c>
      <c r="M32" s="153">
        <f t="shared" si="2"/>
        <v>2.1190746562973488E-3</v>
      </c>
      <c r="N32" s="171"/>
      <c r="O32" s="172"/>
    </row>
    <row r="33" spans="1:15" x14ac:dyDescent="0.2">
      <c r="A33" s="282" t="s">
        <v>181</v>
      </c>
      <c r="B33" s="80">
        <f t="shared" si="4"/>
        <v>1.195406960329725E-2</v>
      </c>
      <c r="C33" s="78">
        <f t="shared" si="10"/>
        <v>4.3598768776821389E-4</v>
      </c>
      <c r="D33" s="186">
        <f t="shared" si="0"/>
        <v>11.237825841302877</v>
      </c>
      <c r="E33" s="78">
        <f t="shared" si="5"/>
        <v>2.2133811820762263E-4</v>
      </c>
      <c r="F33" s="186">
        <f t="shared" si="6"/>
        <v>0.11755064984357944</v>
      </c>
      <c r="G33" s="78">
        <f t="shared" si="7"/>
        <v>1.1946201651255794E-4</v>
      </c>
      <c r="H33" s="185">
        <f>calculations!H34</f>
        <v>56.081400741948762</v>
      </c>
      <c r="I33" s="184">
        <f>TFP!E45</f>
        <v>5.7357500945817028</v>
      </c>
      <c r="J33" s="80" t="str">
        <f t="shared" si="1"/>
        <v>0</v>
      </c>
      <c r="K33" s="111">
        <f>HLOOKUP(TFP!$C$14,'current consumption'!$C$5:$S$63,'current consumption'!$A34,FALSE)*100</f>
        <v>14.403778775370327</v>
      </c>
      <c r="L33" s="151">
        <f>HLOOKUP(TFP!$C$14,'current consumption'!$C$5:$S$63,'current consumption'!$A34,FALSE)*HLOOKUP(TFP!$C$14,cost!$C$6:$S$64,cost!$A35,FALSE)*30.4</f>
        <v>1.4731528524637463</v>
      </c>
      <c r="M33" s="153">
        <f t="shared" si="2"/>
        <v>6.4695851775390468E-3</v>
      </c>
      <c r="N33" s="171"/>
      <c r="O33" s="172"/>
    </row>
    <row r="34" spans="1:15" x14ac:dyDescent="0.2">
      <c r="A34" s="282" t="s">
        <v>566</v>
      </c>
      <c r="B34" s="80">
        <f t="shared" si="4"/>
        <v>1.1092492539434446E-2</v>
      </c>
      <c r="C34" s="78">
        <f t="shared" si="10"/>
        <v>4.0456433117306239E-4</v>
      </c>
      <c r="D34" s="186">
        <f t="shared" si="0"/>
        <v>37.486167645186683</v>
      </c>
      <c r="E34" s="78">
        <f t="shared" si="5"/>
        <v>7.3832055439997351E-4</v>
      </c>
      <c r="F34" s="186">
        <f t="shared" si="6"/>
        <v>4.2200234226442784E-2</v>
      </c>
      <c r="G34" s="78">
        <f t="shared" si="7"/>
        <v>4.288640755879646E-5</v>
      </c>
      <c r="H34" s="185">
        <f>calculations!H35</f>
        <v>218.37925671543576</v>
      </c>
      <c r="I34" s="184">
        <f>TFP!E46</f>
        <v>7.3271198041899268</v>
      </c>
      <c r="J34" s="80" t="str">
        <f t="shared" si="1"/>
        <v>0</v>
      </c>
      <c r="K34" s="111">
        <f>HLOOKUP(TFP!$C$14,'current consumption'!$C$5:$S$63,'current consumption'!$A35,FALSE)*100</f>
        <v>5.6200992635078881</v>
      </c>
      <c r="L34" s="151">
        <f>HLOOKUP(TFP!$C$14,'current consumption'!$C$5:$S$63,'current consumption'!$A35,FALSE)*HLOOKUP(TFP!$C$14,cost!$C$6:$S$64,cost!$A36,FALSE)*30.4</f>
        <v>0.18856708844293449</v>
      </c>
      <c r="M34" s="153">
        <f t="shared" si="2"/>
        <v>8.2812237597871803E-4</v>
      </c>
      <c r="N34" s="171"/>
      <c r="O34" s="172"/>
    </row>
    <row r="35" spans="1:15" x14ac:dyDescent="0.2">
      <c r="A35" s="282" t="s">
        <v>567</v>
      </c>
      <c r="B35" s="80">
        <f t="shared" si="4"/>
        <v>4.4284984063205747E-3</v>
      </c>
      <c r="C35" s="78">
        <f t="shared" si="10"/>
        <v>1.6151577199486689E-4</v>
      </c>
      <c r="D35" s="186">
        <f t="shared" si="0"/>
        <v>12.457517131141843</v>
      </c>
      <c r="E35" s="78">
        <f t="shared" si="5"/>
        <v>2.4536092997740229E-4</v>
      </c>
      <c r="F35" s="186">
        <f t="shared" si="6"/>
        <v>2.2442397168909726E-2</v>
      </c>
      <c r="G35" s="78">
        <f t="shared" si="7"/>
        <v>2.2807309230031562E-5</v>
      </c>
      <c r="H35" s="185">
        <f>calculations!H36</f>
        <v>78.300719969606021</v>
      </c>
      <c r="I35" s="184">
        <f>TFP!E47</f>
        <v>3.3234154217812222</v>
      </c>
      <c r="J35" s="80" t="str">
        <f t="shared" si="1"/>
        <v>0</v>
      </c>
      <c r="K35" s="111">
        <f>HLOOKUP(TFP!$C$14,'current consumption'!$C$5:$S$63,'current consumption'!$A36,FALSE)*100</f>
        <v>33.899367426506039</v>
      </c>
      <c r="L35" s="151">
        <f>HLOOKUP(TFP!$C$14,'current consumption'!$C$5:$S$63,'current consumption'!$A36,FALSE)*HLOOKUP(TFP!$C$14,cost!$C$6:$S$64,cost!$A37,FALSE)*30.4</f>
        <v>1.4388332640825021</v>
      </c>
      <c r="M35" s="153">
        <f t="shared" si="2"/>
        <v>6.3188652438137703E-3</v>
      </c>
      <c r="N35" s="171"/>
      <c r="O35" s="172"/>
    </row>
    <row r="36" spans="1:15" x14ac:dyDescent="0.2">
      <c r="A36" s="282" t="s">
        <v>568</v>
      </c>
      <c r="B36" s="80">
        <f t="shared" si="4"/>
        <v>2.5795361939728506E-2</v>
      </c>
      <c r="C36" s="78">
        <f t="shared" si="10"/>
        <v>9.4080598327320663E-4</v>
      </c>
      <c r="D36" s="186">
        <f t="shared" si="0"/>
        <v>1.6818204496432985E-4</v>
      </c>
      <c r="E36" s="78">
        <f t="shared" si="5"/>
        <v>3.3124821361708152E-9</v>
      </c>
      <c r="F36" s="186">
        <f t="shared" si="6"/>
        <v>1.0841257923771462E-5</v>
      </c>
      <c r="G36" s="78">
        <f t="shared" si="7"/>
        <v>1.1017536141483312E-8</v>
      </c>
      <c r="H36" s="185">
        <f>calculations!H37</f>
        <v>7.324968247238887E-4</v>
      </c>
      <c r="I36" s="184">
        <f>TFP!E48</f>
        <v>1.8597551516174208E-4</v>
      </c>
      <c r="J36" s="80" t="str">
        <f t="shared" si="1"/>
        <v>0</v>
      </c>
      <c r="K36" s="111">
        <f>HLOOKUP(TFP!$C$14,'current consumption'!$C$5:$S$63,'current consumption'!$A37,FALSE)*100</f>
        <v>0.53280134645083232</v>
      </c>
      <c r="L36" s="151">
        <f>HLOOKUP(TFP!$C$14,'current consumption'!$C$5:$S$63,'current consumption'!$A37,FALSE)*HLOOKUP(TFP!$C$14,cost!$C$6:$S$64,cost!$A38,FALSE)*30.4</f>
        <v>0.13527431319912428</v>
      </c>
      <c r="M36" s="153">
        <f t="shared" si="2"/>
        <v>5.9407867290293059E-4</v>
      </c>
      <c r="N36" s="171"/>
      <c r="O36" s="172"/>
    </row>
    <row r="37" spans="1:15" x14ac:dyDescent="0.2">
      <c r="A37" s="282" t="s">
        <v>630</v>
      </c>
      <c r="B37" s="80">
        <f t="shared" si="4"/>
        <v>1.0816901085893027</v>
      </c>
      <c r="C37" s="78">
        <f t="shared" si="10"/>
        <v>3.9451298593369197E-2</v>
      </c>
      <c r="D37" s="186">
        <f t="shared" si="0"/>
        <v>30.544721265340009</v>
      </c>
      <c r="E37" s="78">
        <f t="shared" si="5"/>
        <v>6.0160312337274098E-4</v>
      </c>
      <c r="F37" s="186">
        <f t="shared" si="6"/>
        <v>0.49973703750732901</v>
      </c>
      <c r="G37" s="78">
        <f t="shared" si="7"/>
        <v>5.0786273241430399E-4</v>
      </c>
      <c r="H37" s="185">
        <f>calculations!H38</f>
        <v>3.0428466809072678E-2</v>
      </c>
      <c r="I37" s="184">
        <f>TFP!E49</f>
        <v>3.8920889403679859E-3</v>
      </c>
      <c r="J37" s="80" t="str">
        <f t="shared" si="1"/>
        <v>0</v>
      </c>
      <c r="K37" s="111">
        <f>HLOOKUP(TFP!$C$14,'current consumption'!$C$5:$S$63,'current consumption'!$A38,FALSE)*100</f>
        <v>37.90537506186277</v>
      </c>
      <c r="L37" s="151">
        <f>HLOOKUP(TFP!$C$14,'current consumption'!$C$5:$S$63,'current consumption'!$A38,FALSE)*HLOOKUP(TFP!$C$14,cost!$C$6:$S$64,cost!$A39,FALSE)*30.4</f>
        <v>4.8484562822201775</v>
      </c>
      <c r="M37" s="153">
        <f t="shared" si="2"/>
        <v>2.1292767308523183E-2</v>
      </c>
      <c r="N37" s="171"/>
      <c r="O37" s="172"/>
    </row>
    <row r="38" spans="1:15" x14ac:dyDescent="0.2">
      <c r="A38" s="282" t="s">
        <v>631</v>
      </c>
      <c r="B38" s="80">
        <f t="shared" si="4"/>
        <v>0.16798045665913783</v>
      </c>
      <c r="C38" s="78">
        <f t="shared" si="10"/>
        <v>6.1265672126306963E-3</v>
      </c>
      <c r="D38" s="186">
        <f t="shared" si="0"/>
        <v>0.17262149361722634</v>
      </c>
      <c r="E38" s="78">
        <f t="shared" si="5"/>
        <v>3.3999206874162003E-6</v>
      </c>
      <c r="F38" s="186">
        <f t="shared" si="6"/>
        <v>1.0942726241084924E-2</v>
      </c>
      <c r="G38" s="78">
        <f t="shared" si="7"/>
        <v>1.1120654327682471E-5</v>
      </c>
      <c r="H38" s="185">
        <f>calculations!H39</f>
        <v>2.6890168718929661E-2</v>
      </c>
      <c r="I38" s="184">
        <f>TFP!E50</f>
        <v>6.7703147494516643E-3</v>
      </c>
      <c r="J38" s="80" t="str">
        <f t="shared" si="1"/>
        <v>0</v>
      </c>
      <c r="K38" s="111">
        <f>HLOOKUP(TFP!$C$14,'current consumption'!$C$5:$S$63,'current consumption'!$A39,FALSE)*100</f>
        <v>5.4025027241975758</v>
      </c>
      <c r="L38" s="151">
        <f>HLOOKUP(TFP!$C$14,'current consumption'!$C$5:$S$63,'current consumption'!$A39,FALSE)*HLOOKUP(TFP!$C$14,cost!$C$6:$S$64,cost!$A40,FALSE)*30.4</f>
        <v>1.3602236661251987</v>
      </c>
      <c r="M38" s="153">
        <f t="shared" si="2"/>
        <v>5.9736386850718698E-3</v>
      </c>
      <c r="N38" s="171"/>
      <c r="O38" s="172"/>
    </row>
    <row r="39" spans="1:15" x14ac:dyDescent="0.2">
      <c r="A39" s="282" t="s">
        <v>348</v>
      </c>
      <c r="B39" s="80">
        <f t="shared" si="4"/>
        <v>1.8863144432517038E-2</v>
      </c>
      <c r="C39" s="78">
        <f t="shared" si="10"/>
        <v>6.8797480674719644E-4</v>
      </c>
      <c r="D39" s="186">
        <f t="shared" si="0"/>
        <v>10.307845110827644</v>
      </c>
      <c r="E39" s="78">
        <f t="shared" si="5"/>
        <v>2.0302139148845557E-4</v>
      </c>
      <c r="F39" s="186">
        <f t="shared" si="6"/>
        <v>0.5249148450576484</v>
      </c>
      <c r="G39" s="78">
        <f t="shared" si="7"/>
        <v>5.3344992963804219E-4</v>
      </c>
      <c r="H39" s="185">
        <f>calculations!H40</f>
        <v>41.585121102331286</v>
      </c>
      <c r="I39" s="184">
        <f>TFP!E51</f>
        <v>9.3842259518792819</v>
      </c>
      <c r="J39" s="80" t="str">
        <f t="shared" si="1"/>
        <v>0</v>
      </c>
      <c r="K39" s="111">
        <f>HLOOKUP(TFP!$C$14,'current consumption'!$C$5:$S$63,'current consumption'!$A40,FALSE)*100</f>
        <v>11.464036774567209</v>
      </c>
      <c r="L39" s="151">
        <f>HLOOKUP(TFP!$C$14,'current consumption'!$C$5:$S$63,'current consumption'!$A40,FALSE)*HLOOKUP(TFP!$C$14,cost!$C$6:$S$64,cost!$A41,FALSE)*30.4</f>
        <v>2.587009693886908</v>
      </c>
      <c r="M39" s="153">
        <f t="shared" si="2"/>
        <v>1.1361264747055469E-2</v>
      </c>
      <c r="N39" s="171"/>
      <c r="O39" s="172"/>
    </row>
    <row r="40" spans="1:15" x14ac:dyDescent="0.2">
      <c r="A40" s="88" t="s">
        <v>582</v>
      </c>
      <c r="B40" s="80">
        <f t="shared" si="4"/>
        <v>2.0063482999391793</v>
      </c>
      <c r="C40" s="78">
        <f t="shared" si="10"/>
        <v>7.3175344060811914E-2</v>
      </c>
      <c r="D40" s="186">
        <f t="shared" si="0"/>
        <v>562.92165714585826</v>
      </c>
      <c r="E40" s="78">
        <f t="shared" si="5"/>
        <v>1.1087199788507803E-2</v>
      </c>
      <c r="F40" s="186">
        <f t="shared" si="6"/>
        <v>10.351743978850884</v>
      </c>
      <c r="G40" s="78">
        <f t="shared" si="7"/>
        <v>1.0520062728541363E-2</v>
      </c>
      <c r="H40" s="185">
        <f>calculations!H41</f>
        <v>0.28221231861035007</v>
      </c>
      <c r="I40" s="184">
        <f>TFP!E52</f>
        <v>3.8270025298307711E-2</v>
      </c>
      <c r="J40" s="80" t="str">
        <f t="shared" si="1"/>
        <v>0</v>
      </c>
      <c r="K40" s="111">
        <f>HLOOKUP(TFP!$C$14,'current consumption'!$C$5:$S$63,'current consumption'!$A41,FALSE)*100</f>
        <v>98.328110386461717</v>
      </c>
      <c r="L40" s="151">
        <f>HLOOKUP(TFP!$C$14,'current consumption'!$C$5:$S$63,'current consumption'!$A41,FALSE)*HLOOKUP(TFP!$C$14,cost!$C$6:$S$64,cost!$A42,FALSE)*30.4</f>
        <v>13.334000764227005</v>
      </c>
      <c r="M40" s="153">
        <f t="shared" si="2"/>
        <v>5.8558386223985071E-2</v>
      </c>
      <c r="N40" s="171"/>
      <c r="O40" s="172"/>
    </row>
    <row r="41" spans="1:15" x14ac:dyDescent="0.2">
      <c r="A41" s="282" t="s">
        <v>349</v>
      </c>
      <c r="B41" s="80">
        <f t="shared" si="4"/>
        <v>0.36397234655514821</v>
      </c>
      <c r="C41" s="78">
        <f t="shared" si="10"/>
        <v>1.3274764749770226E-2</v>
      </c>
      <c r="D41" s="186">
        <f t="shared" si="0"/>
        <v>39.403230554475144</v>
      </c>
      <c r="E41" s="78">
        <f t="shared" si="5"/>
        <v>7.7607866729651083E-4</v>
      </c>
      <c r="F41" s="186">
        <f t="shared" si="6"/>
        <v>0.16322647130984583</v>
      </c>
      <c r="G41" s="78">
        <f t="shared" si="7"/>
        <v>1.6588052415576174E-4</v>
      </c>
      <c r="H41" s="185">
        <f>calculations!H42</f>
        <v>0.36100825845252132</v>
      </c>
      <c r="I41" s="184">
        <f>TFP!E53</f>
        <v>2.3235205509897196E-2</v>
      </c>
      <c r="J41" s="80" t="str">
        <f t="shared" si="1"/>
        <v>0</v>
      </c>
      <c r="K41" s="111">
        <f>HLOOKUP(TFP!$C$14,'current consumption'!$C$5:$S$63,'current consumption'!$A42,FALSE)*100</f>
        <v>52.09204711765905</v>
      </c>
      <c r="L41" s="151">
        <f>HLOOKUP(TFP!$C$14,'current consumption'!$C$5:$S$63,'current consumption'!$A42,FALSE)*HLOOKUP(TFP!$C$14,cost!$C$6:$S$64,cost!$A43,FALSE)*30.4</f>
        <v>3.3527471792428263</v>
      </c>
      <c r="M41" s="153">
        <f t="shared" si="2"/>
        <v>1.4724122767429555E-2</v>
      </c>
      <c r="N41" s="171"/>
      <c r="O41" s="172"/>
    </row>
    <row r="42" spans="1:15" x14ac:dyDescent="0.2">
      <c r="A42" s="282" t="s">
        <v>350</v>
      </c>
      <c r="B42" s="80">
        <f t="shared" si="4"/>
        <v>0.39867627245955622</v>
      </c>
      <c r="C42" s="78">
        <f t="shared" si="10"/>
        <v>1.454048302928977E-2</v>
      </c>
      <c r="D42" s="186">
        <f t="shared" si="0"/>
        <v>67.87227861289999</v>
      </c>
      <c r="E42" s="78">
        <f t="shared" si="5"/>
        <v>1.3367997189838163E-3</v>
      </c>
      <c r="F42" s="186">
        <f t="shared" si="6"/>
        <v>0.67993443972775958</v>
      </c>
      <c r="G42" s="78">
        <f t="shared" si="7"/>
        <v>6.9099013382145917E-4</v>
      </c>
      <c r="H42" s="185">
        <f>calculations!H43</f>
        <v>0.90947910850370661</v>
      </c>
      <c r="I42" s="184">
        <f>TFP!E54</f>
        <v>9.1029054601982795E-2</v>
      </c>
      <c r="J42" s="80" t="str">
        <f t="shared" si="1"/>
        <v>0</v>
      </c>
      <c r="K42" s="111">
        <f>HLOOKUP(TFP!$C$14,'current consumption'!$C$5:$S$63,'current consumption'!$A43,FALSE)*100</f>
        <v>54.256680451699616</v>
      </c>
      <c r="L42" s="151">
        <f>HLOOKUP(TFP!$C$14,'current consumption'!$C$5:$S$63,'current consumption'!$A43,FALSE)*HLOOKUP(TFP!$C$14,cost!$C$6:$S$64,cost!$A44,FALSE)*30.4</f>
        <v>5.4305088277241804</v>
      </c>
      <c r="M42" s="153">
        <f t="shared" si="2"/>
        <v>2.3848943685362695E-2</v>
      </c>
      <c r="N42" s="171"/>
      <c r="O42" s="172"/>
    </row>
    <row r="43" spans="1:15" x14ac:dyDescent="0.2">
      <c r="A43" s="88" t="s">
        <v>583</v>
      </c>
      <c r="B43" s="80">
        <f t="shared" si="4"/>
        <v>0.12416903462657743</v>
      </c>
      <c r="C43" s="78">
        <f t="shared" si="10"/>
        <v>4.5286812019498853E-3</v>
      </c>
      <c r="D43" s="186">
        <f t="shared" si="0"/>
        <v>1.6177642186820211</v>
      </c>
      <c r="E43" s="78">
        <f t="shared" si="5"/>
        <v>3.1863181804318626E-5</v>
      </c>
      <c r="F43" s="186">
        <f t="shared" si="6"/>
        <v>1.8037075425341765E-2</v>
      </c>
      <c r="G43" s="78">
        <f t="shared" si="7"/>
        <v>1.8330357213402699E-5</v>
      </c>
      <c r="H43" s="185">
        <f>calculations!H44</f>
        <v>0.2343574770803937</v>
      </c>
      <c r="I43" s="184">
        <f>TFP!E55</f>
        <v>2.4745957457604557E-2</v>
      </c>
      <c r="J43" s="80" t="str">
        <f t="shared" si="1"/>
        <v>0</v>
      </c>
      <c r="K43" s="111">
        <f>HLOOKUP(TFP!$C$14,'current consumption'!$C$5:$S$63,'current consumption'!$A44,FALSE)*100</f>
        <v>15.323198039318504</v>
      </c>
      <c r="L43" s="151">
        <f>HLOOKUP(TFP!$C$14,'current consumption'!$C$5:$S$63,'current consumption'!$A44,FALSE)*HLOOKUP(TFP!$C$14,cost!$C$6:$S$64,cost!$A45,FALSE)*30.4</f>
        <v>1.6179863835338582</v>
      </c>
      <c r="M43" s="153">
        <f t="shared" si="2"/>
        <v>7.1056446769010772E-3</v>
      </c>
      <c r="N43" s="171"/>
      <c r="O43" s="172"/>
    </row>
    <row r="44" spans="1:15" x14ac:dyDescent="0.2">
      <c r="A44" s="282" t="s">
        <v>351</v>
      </c>
      <c r="B44" s="80">
        <f t="shared" si="4"/>
        <v>1.3714384924660352E-3</v>
      </c>
      <c r="C44" s="78">
        <f t="shared" si="10"/>
        <v>5.0018974047270617E-5</v>
      </c>
      <c r="D44" s="186">
        <f t="shared" si="0"/>
        <v>1.668609184540524</v>
      </c>
      <c r="E44" s="78">
        <f t="shared" si="5"/>
        <v>3.2864614752504188E-5</v>
      </c>
      <c r="F44" s="186">
        <f t="shared" si="6"/>
        <v>6.1368582969682775E-3</v>
      </c>
      <c r="G44" s="78">
        <f t="shared" si="7"/>
        <v>6.2366432527867084E-6</v>
      </c>
      <c r="H44" s="185">
        <f>calculations!H45</f>
        <v>29.090520891496098</v>
      </c>
      <c r="I44" s="184">
        <f>TFP!E56</f>
        <v>1.7641976146399427</v>
      </c>
      <c r="J44" s="80" t="str">
        <f t="shared" si="1"/>
        <v>0</v>
      </c>
      <c r="K44" s="111">
        <f>HLOOKUP(TFP!$C$14,'current consumption'!$C$5:$S$63,'current consumption'!$A45,FALSE)*100</f>
        <v>41.393223160461353</v>
      </c>
      <c r="L44" s="151">
        <f>HLOOKUP(TFP!$C$14,'current consumption'!$C$5:$S$63,'current consumption'!$A45,FALSE)*HLOOKUP(TFP!$C$14,cost!$C$6:$S$64,cost!$A46,FALSE)*30.4</f>
        <v>2.5102962519757446</v>
      </c>
      <c r="M44" s="153">
        <f t="shared" si="2"/>
        <v>1.1024365459329534E-2</v>
      </c>
      <c r="N44" s="171"/>
      <c r="O44" s="172"/>
    </row>
    <row r="45" spans="1:15" x14ac:dyDescent="0.2">
      <c r="A45" s="88" t="s">
        <v>584</v>
      </c>
      <c r="B45" s="80">
        <f t="shared" si="4"/>
        <v>6.3651870491937393E-2</v>
      </c>
      <c r="C45" s="78">
        <f t="shared" si="10"/>
        <v>2.3215049567928735E-3</v>
      </c>
      <c r="D45" s="186">
        <f t="shared" si="0"/>
        <v>1035.0574774292827</v>
      </c>
      <c r="E45" s="78">
        <f t="shared" si="5"/>
        <v>2.0386298695688403E-2</v>
      </c>
      <c r="F45" s="186">
        <f t="shared" si="6"/>
        <v>10.491766442590766</v>
      </c>
      <c r="G45" s="78">
        <f t="shared" si="7"/>
        <v>1.0662361949325606E-2</v>
      </c>
      <c r="H45" s="185">
        <f>calculations!H46</f>
        <v>270.39111665126552</v>
      </c>
      <c r="I45" s="184">
        <f>TFP!E57</f>
        <v>27.222906582889269</v>
      </c>
      <c r="J45" s="80" t="str">
        <f t="shared" si="1"/>
        <v>0</v>
      </c>
      <c r="K45" s="111">
        <f>HLOOKUP(TFP!$C$14,'current consumption'!$C$5:$S$63,'current consumption'!$A46,FALSE)*100</f>
        <v>46.844306735927979</v>
      </c>
      <c r="L45" s="151">
        <f>HLOOKUP(TFP!$C$14,'current consumption'!$C$5:$S$63,'current consumption'!$A46,FALSE)*HLOOKUP(TFP!$C$14,cost!$C$6:$S$64,cost!$A47,FALSE)*30.4</f>
        <v>4.7162724944736425</v>
      </c>
      <c r="M45" s="153">
        <f t="shared" si="2"/>
        <v>2.0712261169947184E-2</v>
      </c>
      <c r="N45" s="171"/>
      <c r="O45" s="172"/>
    </row>
    <row r="46" spans="1:15" x14ac:dyDescent="0.2">
      <c r="A46" s="88" t="s">
        <v>230</v>
      </c>
      <c r="B46" s="80">
        <f t="shared" si="4"/>
        <v>0.4656219852095278</v>
      </c>
      <c r="C46" s="78">
        <f t="shared" si="10"/>
        <v>1.6982120687130113E-2</v>
      </c>
      <c r="D46" s="186">
        <f t="shared" si="0"/>
        <v>23.224548918011017</v>
      </c>
      <c r="E46" s="78">
        <f t="shared" si="5"/>
        <v>4.5742637644733834E-4</v>
      </c>
      <c r="F46" s="186">
        <f t="shared" si="6"/>
        <v>0.32148321213867437</v>
      </c>
      <c r="G46" s="78">
        <f t="shared" si="7"/>
        <v>3.2671051030449199E-4</v>
      </c>
      <c r="H46" s="185">
        <f>calculations!H47</f>
        <v>0.23507886315388946</v>
      </c>
      <c r="I46" s="184">
        <f>TFP!E58</f>
        <v>2.7657892703347599E-2</v>
      </c>
      <c r="J46" s="80" t="str">
        <f t="shared" si="1"/>
        <v>0</v>
      </c>
      <c r="K46" s="111">
        <f>HLOOKUP(TFP!$C$14,'current consumption'!$C$5:$S$63,'current consumption'!$A47,FALSE)*100</f>
        <v>35.712194841285552</v>
      </c>
      <c r="L46" s="151">
        <f>HLOOKUP(TFP!$C$14,'current consumption'!$C$5:$S$63,'current consumption'!$A47,FALSE)*HLOOKUP(TFP!$C$14,cost!$C$6:$S$64,cost!$A48,FALSE)*30.4</f>
        <v>4.2016710471954539</v>
      </c>
      <c r="M46" s="153">
        <f t="shared" si="2"/>
        <v>1.845230702460296E-2</v>
      </c>
      <c r="N46" s="171"/>
      <c r="O46" s="172"/>
    </row>
    <row r="47" spans="1:15" x14ac:dyDescent="0.2">
      <c r="A47" s="282" t="s">
        <v>352</v>
      </c>
      <c r="B47" s="80">
        <f t="shared" si="4"/>
        <v>1.2719553134339657E-2</v>
      </c>
      <c r="C47" s="78">
        <f t="shared" si="10"/>
        <v>4.6390633018868064E-4</v>
      </c>
      <c r="D47" s="186">
        <f t="shared" si="0"/>
        <v>33.85331553685414</v>
      </c>
      <c r="E47" s="78">
        <f t="shared" si="5"/>
        <v>6.6676857799991072E-4</v>
      </c>
      <c r="F47" s="186">
        <f t="shared" si="6"/>
        <v>6.5643892186889624E-2</v>
      </c>
      <c r="G47" s="78">
        <f t="shared" si="7"/>
        <v>6.6711258022084905E-5</v>
      </c>
      <c r="H47" s="185">
        <f>calculations!H48</f>
        <v>121.5898968769273</v>
      </c>
      <c r="I47" s="184">
        <f>TFP!E59</f>
        <v>5.3541933127256183</v>
      </c>
      <c r="J47" s="80" t="str">
        <f t="shared" si="1"/>
        <v>0</v>
      </c>
      <c r="K47" s="111">
        <f>HLOOKUP(TFP!$C$14,'current consumption'!$C$5:$S$63,'current consumption'!$A48,FALSE)*100</f>
        <v>15.575720259022372</v>
      </c>
      <c r="L47" s="151">
        <f>HLOOKUP(TFP!$C$14,'current consumption'!$C$5:$S$63,'current consumption'!$A48,FALSE)*HLOOKUP(TFP!$C$14,cost!$C$6:$S$64,cost!$A49,FALSE)*30.4</f>
        <v>0.68587456189846885</v>
      </c>
      <c r="M47" s="153">
        <f t="shared" si="2"/>
        <v>3.0121272832539436E-3</v>
      </c>
      <c r="N47" s="171"/>
      <c r="O47" s="172"/>
    </row>
    <row r="48" spans="1:15" x14ac:dyDescent="0.2">
      <c r="A48" s="88" t="s">
        <v>176</v>
      </c>
      <c r="B48" s="80">
        <f t="shared" si="4"/>
        <v>1.0034763953664802E-2</v>
      </c>
      <c r="C48" s="78">
        <f t="shared" si="10"/>
        <v>3.659869549572797E-4</v>
      </c>
      <c r="D48" s="186">
        <f t="shared" si="0"/>
        <v>1.2845755893087369</v>
      </c>
      <c r="E48" s="78">
        <f t="shared" si="5"/>
        <v>2.5300760809804464E-5</v>
      </c>
      <c r="F48" s="186">
        <f t="shared" si="6"/>
        <v>3.9042973976174976E-2</v>
      </c>
      <c r="G48" s="78">
        <f t="shared" si="7"/>
        <v>3.9677810442116743E-5</v>
      </c>
      <c r="H48" s="185">
        <f>calculations!H49</f>
        <v>24.454953040097834</v>
      </c>
      <c r="I48" s="184">
        <f>TFP!E60</f>
        <v>4.2634232220793695</v>
      </c>
      <c r="J48" s="80" t="str">
        <f t="shared" si="1"/>
        <v>0</v>
      </c>
      <c r="K48" s="111">
        <f>HLOOKUP(TFP!$C$14,'current consumption'!$C$5:$S$63,'current consumption'!$A49,FALSE)*100</f>
        <v>4.0164331607211325</v>
      </c>
      <c r="L48" s="151">
        <f>HLOOKUP(TFP!$C$14,'current consumption'!$C$5:$S$63,'current consumption'!$A49,FALSE)*HLOOKUP(TFP!$C$14,cost!$C$6:$S$64,cost!$A50,FALSE)*30.4</f>
        <v>0.7002162048428785</v>
      </c>
      <c r="M48" s="153">
        <f t="shared" si="2"/>
        <v>3.0751108904604426E-3</v>
      </c>
      <c r="N48" s="171"/>
      <c r="O48" s="172"/>
    </row>
    <row r="49" spans="1:15" x14ac:dyDescent="0.2">
      <c r="A49" s="88" t="s">
        <v>448</v>
      </c>
      <c r="B49" s="80">
        <f t="shared" si="4"/>
        <v>1.0565549984723345E-2</v>
      </c>
      <c r="C49" s="78">
        <f t="shared" si="10"/>
        <v>3.853457325167688E-4</v>
      </c>
      <c r="D49" s="186">
        <f t="shared" si="0"/>
        <v>2.6652357350228728E-4</v>
      </c>
      <c r="E49" s="78">
        <f t="shared" si="5"/>
        <v>5.2493985091094754E-9</v>
      </c>
      <c r="F49" s="186">
        <f t="shared" si="6"/>
        <v>1.5179619560681522E-6</v>
      </c>
      <c r="G49" s="78">
        <f t="shared" si="7"/>
        <v>1.5426439284049012E-9</v>
      </c>
      <c r="H49" s="185">
        <f>calculations!H50</f>
        <v>2.6849580901966647E-3</v>
      </c>
      <c r="I49" s="184">
        <f>TFP!E61</f>
        <v>2.0262831871752576E-4</v>
      </c>
      <c r="J49" s="80" t="str">
        <f t="shared" si="1"/>
        <v>0</v>
      </c>
      <c r="K49" s="111">
        <f>HLOOKUP(TFP!$C$14,'current consumption'!$C$5:$S$63,'current consumption'!$A50,FALSE)*100</f>
        <v>0.93171626363230764</v>
      </c>
      <c r="L49" s="151">
        <f>HLOOKUP(TFP!$C$14,'current consumption'!$C$5:$S$63,'current consumption'!$A50,FALSE)*HLOOKUP(TFP!$C$14,cost!$C$6:$S$64,cost!$A51,FALSE)*30.4</f>
        <v>7.0314728826087955E-2</v>
      </c>
      <c r="M49" s="153">
        <f t="shared" si="2"/>
        <v>3.0879832097201285E-4</v>
      </c>
      <c r="N49" s="171"/>
      <c r="O49" s="172"/>
    </row>
    <row r="50" spans="1:15" x14ac:dyDescent="0.2">
      <c r="A50" s="282" t="s">
        <v>188</v>
      </c>
      <c r="B50" s="80">
        <f t="shared" si="4"/>
        <v>1.4951828829609288E-2</v>
      </c>
      <c r="C50" s="78">
        <f t="shared" si="10"/>
        <v>5.453216766890341E-4</v>
      </c>
      <c r="D50" s="186">
        <f t="shared" si="0"/>
        <v>2.8879340708808119</v>
      </c>
      <c r="E50" s="78">
        <f t="shared" si="5"/>
        <v>5.6880209907429035E-5</v>
      </c>
      <c r="F50" s="186">
        <f t="shared" si="6"/>
        <v>9.2542441298627778E-2</v>
      </c>
      <c r="G50" s="78">
        <f t="shared" si="7"/>
        <v>9.4047175964063215E-5</v>
      </c>
      <c r="H50" s="185">
        <f>calculations!H51</f>
        <v>36.118889953847365</v>
      </c>
      <c r="I50" s="184">
        <f>TFP!E62</f>
        <v>6.4656357359552503</v>
      </c>
      <c r="J50" s="80" t="str">
        <f t="shared" si="1"/>
        <v>0</v>
      </c>
      <c r="K50" s="111">
        <f>HLOOKUP(TFP!$C$14,'current consumption'!$C$5:$S$63,'current consumption'!$A51,FALSE)*100</f>
        <v>3.4398874015439929</v>
      </c>
      <c r="L50" s="151">
        <f>HLOOKUP(TFP!$C$14,'current consumption'!$C$5:$S$63,'current consumption'!$A51,FALSE)*HLOOKUP(TFP!$C$14,cost!$C$6:$S$64,cost!$A52,FALSE)*30.4</f>
        <v>0.61577360044853702</v>
      </c>
      <c r="M50" s="153">
        <f t="shared" si="2"/>
        <v>2.7042677557315774E-3</v>
      </c>
      <c r="N50" s="171"/>
      <c r="O50" s="172"/>
    </row>
    <row r="51" spans="1:15" x14ac:dyDescent="0.2">
      <c r="A51" s="282" t="s">
        <v>189</v>
      </c>
      <c r="B51" s="80">
        <f t="shared" si="4"/>
        <v>1.1054894416289124E-2</v>
      </c>
      <c r="C51" s="78">
        <f t="shared" si="10"/>
        <v>4.0319305600748764E-4</v>
      </c>
      <c r="D51" s="186">
        <f t="shared" si="0"/>
        <v>6.2885909334622001</v>
      </c>
      <c r="E51" s="78">
        <f t="shared" si="5"/>
        <v>1.2385891212820819E-4</v>
      </c>
      <c r="F51" s="186">
        <f t="shared" si="6"/>
        <v>3.7565712625827363E-2</v>
      </c>
      <c r="G51" s="78">
        <f t="shared" si="7"/>
        <v>3.817652890889322E-5</v>
      </c>
      <c r="H51" s="185">
        <f>calculations!H52</f>
        <v>61.738788801368003</v>
      </c>
      <c r="I51" s="184">
        <f>TFP!E63</f>
        <v>4.7717452351741816</v>
      </c>
      <c r="J51" s="80" t="str">
        <f t="shared" si="1"/>
        <v>0</v>
      </c>
      <c r="K51" s="111">
        <f>HLOOKUP(TFP!$C$14,'current consumption'!$C$5:$S$63,'current consumption'!$A52,FALSE)*100</f>
        <v>5.9533927874051971</v>
      </c>
      <c r="L51" s="151">
        <f>HLOOKUP(TFP!$C$14,'current consumption'!$C$5:$S$63,'current consumption'!$A52,FALSE)*HLOOKUP(TFP!$C$14,cost!$C$6:$S$64,cost!$A53,FALSE)*30.4</f>
        <v>0.46013331680053343</v>
      </c>
      <c r="M51" s="153">
        <f t="shared" si="2"/>
        <v>2.0207486827222292E-3</v>
      </c>
      <c r="N51" s="171"/>
      <c r="O51" s="172"/>
    </row>
    <row r="52" spans="1:15" x14ac:dyDescent="0.2">
      <c r="A52" s="88" t="s">
        <v>155</v>
      </c>
      <c r="B52" s="80">
        <f t="shared" si="4"/>
        <v>0.16582829993901288</v>
      </c>
      <c r="C52" s="78">
        <f t="shared" si="10"/>
        <v>6.0480739577592939E-3</v>
      </c>
      <c r="D52" s="186">
        <f t="shared" si="0"/>
        <v>1.9137395621949242</v>
      </c>
      <c r="E52" s="78">
        <f t="shared" si="5"/>
        <v>3.7692656873083844E-5</v>
      </c>
      <c r="F52" s="186">
        <f t="shared" si="6"/>
        <v>1.9119321241835043E-2</v>
      </c>
      <c r="G52" s="78">
        <f t="shared" si="7"/>
        <v>1.94302002833696E-5</v>
      </c>
      <c r="H52" s="185">
        <f>calculations!H53</f>
        <v>0.13579097870554718</v>
      </c>
      <c r="I52" s="184">
        <f>TFP!E64</f>
        <v>1.3572683942584884E-2</v>
      </c>
      <c r="J52" s="80" t="str">
        <f t="shared" si="1"/>
        <v>0</v>
      </c>
      <c r="K52" s="111">
        <f>HLOOKUP(TFP!$C$14,'current consumption'!$C$5:$S$63,'current consumption'!$A53,FALSE)*100</f>
        <v>16.426931094480583</v>
      </c>
      <c r="L52" s="151">
        <f>HLOOKUP(TFP!$C$14,'current consumption'!$C$5:$S$63,'current consumption'!$A53,FALSE)*HLOOKUP(TFP!$C$14,cost!$C$6:$S$64,cost!$A54,FALSE)*30.4</f>
        <v>1.6419172025814179</v>
      </c>
      <c r="M52" s="153">
        <f t="shared" si="2"/>
        <v>7.2107406769105339E-3</v>
      </c>
      <c r="N52" s="171"/>
      <c r="O52" s="172"/>
    </row>
    <row r="53" spans="1:15" x14ac:dyDescent="0.2">
      <c r="A53" s="88" t="s">
        <v>48</v>
      </c>
      <c r="B53" s="80">
        <f t="shared" si="4"/>
        <v>9.9777876745545252E-3</v>
      </c>
      <c r="C53" s="78">
        <f t="shared" si="10"/>
        <v>3.6390892153340923E-4</v>
      </c>
      <c r="D53" s="186">
        <f t="shared" si="0"/>
        <v>5.8939531191576888</v>
      </c>
      <c r="E53" s="78">
        <f t="shared" si="5"/>
        <v>1.1608619946783804E-4</v>
      </c>
      <c r="F53" s="186">
        <f t="shared" si="6"/>
        <v>3.003235064606468E-2</v>
      </c>
      <c r="G53" s="78">
        <f t="shared" si="7"/>
        <v>3.0520674905372026E-5</v>
      </c>
      <c r="H53" s="185">
        <f>calculations!H54</f>
        <v>90.046982114076059</v>
      </c>
      <c r="I53" s="184">
        <f>TFP!E65</f>
        <v>6.4277723426814175</v>
      </c>
      <c r="J53" s="80" t="str">
        <f t="shared" si="1"/>
        <v>0</v>
      </c>
      <c r="K53" s="111">
        <f>HLOOKUP(TFP!$C$14,'current consumption'!$C$5:$S$63,'current consumption'!$A54,FALSE)*100</f>
        <v>2.4502531162033199</v>
      </c>
      <c r="L53" s="151">
        <f>HLOOKUP(TFP!$C$14,'current consumption'!$C$5:$S$63,'current consumption'!$A54,FALSE)*HLOOKUP(TFP!$C$14,cost!$C$6:$S$64,cost!$A55,FALSE)*30.4</f>
        <v>0.17490502005884198</v>
      </c>
      <c r="M53" s="153">
        <f t="shared" si="2"/>
        <v>7.6812322859599598E-4</v>
      </c>
      <c r="N53" s="171"/>
      <c r="O53" s="172"/>
    </row>
    <row r="54" spans="1:15" x14ac:dyDescent="0.2">
      <c r="A54" s="282" t="s">
        <v>190</v>
      </c>
      <c r="B54" s="80">
        <f t="shared" si="4"/>
        <v>8.3041933910410384E-2</v>
      </c>
      <c r="C54" s="78">
        <f t="shared" si="10"/>
        <v>3.028697502598971E-3</v>
      </c>
      <c r="D54" s="186">
        <f t="shared" si="0"/>
        <v>7.3797782927362716</v>
      </c>
      <c r="E54" s="78">
        <f t="shared" si="5"/>
        <v>1.4535073448996734E-4</v>
      </c>
      <c r="F54" s="186">
        <f t="shared" si="6"/>
        <v>7.3283959759984127E-2</v>
      </c>
      <c r="G54" s="78">
        <f t="shared" si="7"/>
        <v>7.4475552645624366E-5</v>
      </c>
      <c r="H54" s="185">
        <f>calculations!H55</f>
        <v>1.8926348527123074</v>
      </c>
      <c r="I54" s="184">
        <f>TFP!E66</f>
        <v>0.18860345304719894</v>
      </c>
      <c r="J54" s="80" t="str">
        <f t="shared" si="1"/>
        <v>0</v>
      </c>
      <c r="K54" s="111">
        <f>HLOOKUP(TFP!$C$14,'current consumption'!$C$5:$S$63,'current consumption'!$A55,FALSE)*100</f>
        <v>26.920522616560667</v>
      </c>
      <c r="L54" s="151">
        <f>HLOOKUP(TFP!$C$14,'current consumption'!$C$5:$S$63,'current consumption'!$A55,FALSE)*HLOOKUP(TFP!$C$14,cost!$C$6:$S$64,cost!$A56,FALSE)*30.4</f>
        <v>2.6826640733379432</v>
      </c>
      <c r="M54" s="153">
        <f t="shared" si="2"/>
        <v>1.1781346176099399E-2</v>
      </c>
      <c r="N54" s="171"/>
      <c r="O54" s="172"/>
    </row>
    <row r="55" spans="1:15" x14ac:dyDescent="0.2">
      <c r="A55" s="282" t="s">
        <v>191</v>
      </c>
      <c r="B55" s="80">
        <f t="shared" si="4"/>
        <v>4.0908490559465716E-2</v>
      </c>
      <c r="C55" s="78">
        <f t="shared" si="10"/>
        <v>1.492010570541578E-3</v>
      </c>
      <c r="D55" s="186">
        <f t="shared" si="0"/>
        <v>1.0302389010577191</v>
      </c>
      <c r="E55" s="78">
        <f t="shared" si="5"/>
        <v>2.0291392915728571E-5</v>
      </c>
      <c r="F55" s="186">
        <f t="shared" si="6"/>
        <v>1.3685863838316627E-2</v>
      </c>
      <c r="G55" s="78">
        <f t="shared" si="7"/>
        <v>1.3908395181287042E-5</v>
      </c>
      <c r="H55" s="185">
        <f>calculations!H56</f>
        <v>1.1607532438730113</v>
      </c>
      <c r="I55" s="184">
        <f>TFP!E67</f>
        <v>0.13378488239579986</v>
      </c>
      <c r="J55" s="80" t="str">
        <f t="shared" si="1"/>
        <v>0</v>
      </c>
      <c r="K55" s="111">
        <f>HLOOKUP(TFP!$C$14,'current consumption'!$C$5:$S$63,'current consumption'!$A56,FALSE)*100</f>
        <v>13.458445921805593</v>
      </c>
      <c r="L55" s="151">
        <f>HLOOKUP(TFP!$C$14,'current consumption'!$C$5:$S$63,'current consumption'!$A56,FALSE)*HLOOKUP(TFP!$C$14,cost!$C$6:$S$64,cost!$A57,FALSE)*30.4</f>
        <v>1.5511794727975587</v>
      </c>
      <c r="M55" s="153">
        <f t="shared" si="2"/>
        <v>6.8122514972769185E-3</v>
      </c>
      <c r="N55" s="171"/>
      <c r="O55" s="172"/>
    </row>
    <row r="56" spans="1:15" x14ac:dyDescent="0.2">
      <c r="A56" s="88" t="s">
        <v>422</v>
      </c>
      <c r="B56" s="80">
        <f t="shared" si="4"/>
        <v>1.4202117202011576E-2</v>
      </c>
      <c r="C56" s="78">
        <f t="shared" si="10"/>
        <v>5.1797826562849348E-4</v>
      </c>
      <c r="D56" s="186">
        <f t="shared" si="0"/>
        <v>5.9156321458984529</v>
      </c>
      <c r="E56" s="78">
        <f t="shared" si="5"/>
        <v>1.1651318552823218E-4</v>
      </c>
      <c r="F56" s="186">
        <f t="shared" si="6"/>
        <v>7.3873760568485602E-2</v>
      </c>
      <c r="G56" s="78">
        <f t="shared" si="7"/>
        <v>7.5074943580664537E-5</v>
      </c>
      <c r="H56" s="185">
        <f>calculations!H57</f>
        <v>59.019085414000429</v>
      </c>
      <c r="I56" s="184">
        <f>TFP!E68</f>
        <v>6.5953371115302462</v>
      </c>
      <c r="J56" s="80" t="str">
        <f t="shared" si="1"/>
        <v>0</v>
      </c>
      <c r="K56" s="111">
        <f>HLOOKUP(TFP!$C$14,'current consumption'!$C$5:$S$63,'current consumption'!$A57,FALSE)*100</f>
        <v>3.9789558196868891</v>
      </c>
      <c r="L56" s="151">
        <f>HLOOKUP(TFP!$C$14,'current consumption'!$C$5:$S$63,'current consumption'!$A57,FALSE)*HLOOKUP(TFP!$C$14,cost!$C$6:$S$64,cost!$A58,FALSE)*30.4</f>
        <v>0.44464523295535457</v>
      </c>
      <c r="M56" s="153">
        <f t="shared" si="2"/>
        <v>1.9527302978644249E-3</v>
      </c>
      <c r="N56" s="171"/>
      <c r="O56" s="172"/>
    </row>
    <row r="57" spans="1:15" x14ac:dyDescent="0.2">
      <c r="A57" s="282" t="s">
        <v>192</v>
      </c>
      <c r="B57" s="80">
        <f t="shared" si="4"/>
        <v>3.0550852078496697E-3</v>
      </c>
      <c r="C57" s="78">
        <f t="shared" si="10"/>
        <v>1.1142477665830682E-4</v>
      </c>
      <c r="D57" s="186">
        <f t="shared" si="0"/>
        <v>0.56592447474308527</v>
      </c>
      <c r="E57" s="78">
        <f t="shared" si="5"/>
        <v>1.1146342722886461E-5</v>
      </c>
      <c r="F57" s="186">
        <f t="shared" si="6"/>
        <v>7.4065184493569414E-3</v>
      </c>
      <c r="G57" s="78">
        <f t="shared" si="7"/>
        <v>7.5269480047538101E-6</v>
      </c>
      <c r="H57" s="185">
        <f>calculations!H58</f>
        <v>20.08076886737101</v>
      </c>
      <c r="I57" s="184">
        <f>TFP!E69</f>
        <v>2.2972494364316409</v>
      </c>
      <c r="J57" s="80" t="str">
        <f t="shared" si="1"/>
        <v>0</v>
      </c>
      <c r="K57" s="111">
        <f>HLOOKUP(TFP!$C$14,'current consumption'!$C$5:$S$63,'current consumption'!$A58,FALSE)*100</f>
        <v>8.7060675321966077</v>
      </c>
      <c r="L57" s="151">
        <f>HLOOKUP(TFP!$C$14,'current consumption'!$C$5:$S$63,'current consumption'!$A58,FALSE)*HLOOKUP(TFP!$C$14,cost!$C$6:$S$64,cost!$A59,FALSE)*30.4</f>
        <v>0.99597823489578774</v>
      </c>
      <c r="M57" s="153">
        <f t="shared" si="2"/>
        <v>4.3739969106782592E-3</v>
      </c>
      <c r="N57" s="171"/>
      <c r="O57" s="172"/>
    </row>
    <row r="58" spans="1:15" x14ac:dyDescent="0.2">
      <c r="A58" s="88" t="s">
        <v>49</v>
      </c>
      <c r="B58" s="80">
        <f t="shared" si="4"/>
        <v>7.9336547125195105E-3</v>
      </c>
      <c r="C58" s="78">
        <f t="shared" si="10"/>
        <v>2.8935549887619007E-4</v>
      </c>
      <c r="D58" s="186">
        <f t="shared" si="0"/>
        <v>13.442688658579964</v>
      </c>
      <c r="E58" s="78">
        <f t="shared" si="5"/>
        <v>2.647646843222554E-4</v>
      </c>
      <c r="F58" s="186">
        <f t="shared" si="6"/>
        <v>0.13605579436675316</v>
      </c>
      <c r="G58" s="78">
        <f t="shared" si="7"/>
        <v>1.3826805359985864E-4</v>
      </c>
      <c r="H58" s="185">
        <f>calculations!H59</f>
        <v>60.393392672910849</v>
      </c>
      <c r="I58" s="184">
        <f>TFP!E70</f>
        <v>6.0758197095641462</v>
      </c>
      <c r="J58" s="80" t="str">
        <f t="shared" si="1"/>
        <v>0</v>
      </c>
      <c r="K58" s="111">
        <f>HLOOKUP(TFP!$C$14,'current consumption'!$C$5:$S$63,'current consumption'!$A59,FALSE)*100</f>
        <v>26.525269620945636</v>
      </c>
      <c r="L58" s="151">
        <f>HLOOKUP(TFP!$C$14,'current consumption'!$C$5:$S$63,'current consumption'!$A59,FALSE)*HLOOKUP(TFP!$C$14,cost!$C$6:$S$64,cost!$A60,FALSE)*30.4</f>
        <v>2.6685494692655896</v>
      </c>
      <c r="M58" s="153">
        <f t="shared" si="2"/>
        <v>1.1719359646228713E-2</v>
      </c>
      <c r="N58" s="171"/>
      <c r="O58" s="172"/>
    </row>
    <row r="59" spans="1:15" x14ac:dyDescent="0.2">
      <c r="A59" s="88" t="s">
        <v>50</v>
      </c>
      <c r="B59" s="80">
        <f t="shared" si="4"/>
        <v>0.16172943347274749</v>
      </c>
      <c r="C59" s="78">
        <f t="shared" si="10"/>
        <v>5.8985804904797658E-3</v>
      </c>
      <c r="D59" s="186">
        <f t="shared" si="0"/>
        <v>4435.1124174455299</v>
      </c>
      <c r="E59" s="78">
        <f t="shared" si="5"/>
        <v>8.7353145562081722E-2</v>
      </c>
      <c r="F59" s="186">
        <f t="shared" si="6"/>
        <v>1.3405086910698589</v>
      </c>
      <c r="G59" s="78">
        <f t="shared" si="7"/>
        <v>1.3623052837300983E-3</v>
      </c>
      <c r="H59" s="185">
        <f>calculations!H60</f>
        <v>43.786319804024885</v>
      </c>
      <c r="I59" s="184">
        <f>TFP!E71</f>
        <v>0.76123885178113659</v>
      </c>
      <c r="J59" s="80" t="str">
        <f>IF(H59=0,"1", "0")</f>
        <v>0</v>
      </c>
      <c r="K59" s="111">
        <f>HLOOKUP(TFP!$C$14,'current consumption'!$C$5:$S$63,'current consumption'!$A60,FALSE)*100</f>
        <v>417.01256956214172</v>
      </c>
      <c r="L59" s="151">
        <f>HLOOKUP(TFP!$C$14,'current consumption'!$C$5:$S$63,'current consumption'!$A60,FALSE)*HLOOKUP(TFP!$C$14,cost!$C$6:$S$64,cost!$A61,FALSE)*30.4</f>
        <v>7.2498938264870141</v>
      </c>
      <c r="M59" s="153">
        <f t="shared" si="2"/>
        <v>3.1839062430031519E-2</v>
      </c>
      <c r="N59" s="171"/>
      <c r="O59" s="172"/>
    </row>
    <row r="60" spans="1:15" x14ac:dyDescent="0.2">
      <c r="A60" s="88" t="s">
        <v>51</v>
      </c>
      <c r="B60" s="80">
        <f t="shared" si="4"/>
        <v>4.3419712752686985</v>
      </c>
      <c r="C60" s="78">
        <f t="shared" si="10"/>
        <v>0.15835996271414132</v>
      </c>
      <c r="D60" s="186">
        <f t="shared" si="0"/>
        <v>38549.509063611724</v>
      </c>
      <c r="E60" s="78">
        <f t="shared" si="5"/>
        <v>0.75926392831322642</v>
      </c>
      <c r="F60" s="186">
        <f t="shared" si="6"/>
        <v>33.134830128660788</v>
      </c>
      <c r="G60" s="78">
        <f t="shared" si="7"/>
        <v>3.3673600522312053E-2</v>
      </c>
      <c r="H60" s="185">
        <f>calculations!H61</f>
        <v>0.55341988154584443</v>
      </c>
      <c r="I60" s="184">
        <f>TFP!E72</f>
        <v>1.6225112079566048E-2</v>
      </c>
      <c r="J60" s="80" t="str">
        <f>IF(H60=0,"1", "0")</f>
        <v>0</v>
      </c>
      <c r="K60" s="111">
        <f>HLOOKUP(TFP!$C$14,'current consumption'!$C$5:$S$63,'current consumption'!$A61,FALSE)*100</f>
        <v>669.3581764203002</v>
      </c>
      <c r="L60" s="151">
        <f>HLOOKUP(TFP!$C$14,'current consumption'!$C$5:$S$63,'current consumption'!$A61,FALSE)*HLOOKUP(TFP!$C$14,cost!$C$6:$S$64,cost!$A62,FALSE)*30.4</f>
        <v>19.624180113402112</v>
      </c>
      <c r="M60" s="153">
        <f t="shared" si="2"/>
        <v>8.6182709805496763E-2</v>
      </c>
      <c r="N60" s="171"/>
      <c r="O60" s="172"/>
    </row>
    <row r="61" spans="1:15" x14ac:dyDescent="0.2">
      <c r="A61" s="282" t="s">
        <v>193</v>
      </c>
      <c r="B61" s="80">
        <f t="shared" si="4"/>
        <v>0.46395380316354473</v>
      </c>
      <c r="C61" s="78">
        <f t="shared" si="10"/>
        <v>1.6921278910468216E-2</v>
      </c>
      <c r="D61" s="186">
        <f t="shared" si="0"/>
        <v>209.75429122519003</v>
      </c>
      <c r="E61" s="78">
        <f t="shared" si="5"/>
        <v>4.1312813315831434E-3</v>
      </c>
      <c r="F61" s="186">
        <f t="shared" si="6"/>
        <v>0.16166544001084163</v>
      </c>
      <c r="G61" s="78">
        <f t="shared" si="7"/>
        <v>1.6429411057943181E-4</v>
      </c>
      <c r="H61" s="185">
        <f>calculations!H62</f>
        <v>0.43161451579234145</v>
      </c>
      <c r="I61" s="184">
        <f>TFP!E73</f>
        <v>1.1982548878847473E-2</v>
      </c>
      <c r="J61" s="80" t="str">
        <f>IF(H61=0,"1", "0")</f>
        <v>0</v>
      </c>
      <c r="K61" s="111">
        <f>HLOOKUP(TFP!$C$14,'current consumption'!$C$5:$S$63,'current consumption'!$A62,FALSE)*100</f>
        <v>120.11169707284223</v>
      </c>
      <c r="L61" s="151">
        <f>HLOOKUP(TFP!$C$14,'current consumption'!$C$5:$S$63,'current consumption'!$A62,FALSE)*HLOOKUP(TFP!$C$14,cost!$C$6:$S$64,cost!$A63,FALSE)*30.4</f>
        <v>3.3345594933352585</v>
      </c>
      <c r="M61" s="153">
        <f t="shared" si="2"/>
        <v>1.4644248650521356E-2</v>
      </c>
      <c r="N61" s="171"/>
      <c r="O61" s="172"/>
    </row>
    <row r="62" spans="1:15" ht="13.5" thickBot="1" x14ac:dyDescent="0.25">
      <c r="A62" s="89" t="s">
        <v>326</v>
      </c>
      <c r="B62" s="80">
        <f t="shared" si="4"/>
        <v>1.0985980153154351</v>
      </c>
      <c r="C62" s="78">
        <f t="shared" si="10"/>
        <v>4.0067962156754656E-2</v>
      </c>
      <c r="D62" s="186">
        <f t="shared" si="0"/>
        <v>14.183620564015456</v>
      </c>
      <c r="E62" s="78">
        <f t="shared" si="5"/>
        <v>2.7935794070342622E-4</v>
      </c>
      <c r="F62" s="186">
        <f t="shared" si="6"/>
        <v>0.66043467538245115</v>
      </c>
      <c r="G62" s="78">
        <f t="shared" si="7"/>
        <v>6.7117330445207689E-4</v>
      </c>
      <c r="H62" s="185">
        <f>calculations!H63</f>
        <v>2.5965229291013692E-2</v>
      </c>
      <c r="I62" s="184">
        <f>TFP!E74</f>
        <v>5.6029086712477312E-3</v>
      </c>
      <c r="J62" s="80" t="str">
        <f>IF(H62=0,"1", "0")</f>
        <v>0</v>
      </c>
      <c r="K62" s="111">
        <f>HLOOKUP(TFP!$C$14,'current consumption'!$C$5:$S$63,'current consumption'!$A63,FALSE)*100</f>
        <v>24.661379372519178</v>
      </c>
      <c r="L62" s="151">
        <f>HLOOKUP(TFP!$C$14,'current consumption'!$C$5:$S$63,'current consumption'!$A63,FALSE)*HLOOKUP(TFP!$C$14,cost!$C$6:$S$64,cost!$A64,FALSE)*30.4</f>
        <v>5.3215573327919259</v>
      </c>
      <c r="M62" s="154">
        <f>L62/(SUM($L$5:$L$62))</f>
        <v>2.3370465857684743E-2</v>
      </c>
      <c r="N62" s="171"/>
      <c r="O62" s="172"/>
    </row>
    <row r="63" spans="1:15" ht="14.25" thickTop="1" thickBot="1" x14ac:dyDescent="0.25">
      <c r="A63" s="91" t="s">
        <v>500</v>
      </c>
      <c r="B63" s="92">
        <f>IF(J63=0,(SUM(B5:B62)),"undefined")</f>
        <v>27.418365102210057</v>
      </c>
      <c r="C63" s="93">
        <f t="shared" ref="C63:I63" si="13">SUM(C5:C62)</f>
        <v>0.99999999999999978</v>
      </c>
      <c r="D63" s="187">
        <f t="shared" si="13"/>
        <v>50772.211909570033</v>
      </c>
      <c r="E63" s="93">
        <f t="shared" si="13"/>
        <v>1</v>
      </c>
      <c r="F63" s="187">
        <f t="shared" si="13"/>
        <v>984.00021425406305</v>
      </c>
      <c r="G63" s="92">
        <f t="shared" si="13"/>
        <v>0.99999999999999956</v>
      </c>
      <c r="H63" s="174">
        <f t="shared" si="13"/>
        <v>2243.0191773783877</v>
      </c>
      <c r="I63" s="92">
        <f t="shared" si="13"/>
        <v>167.19999999999985</v>
      </c>
      <c r="J63" s="94">
        <f>COUNTIF(J5:J62, 1)</f>
        <v>0</v>
      </c>
      <c r="K63" s="92">
        <f>SUM(K5:K62)</f>
        <v>2348.8709741337866</v>
      </c>
      <c r="L63" s="92">
        <f>SUM(L5:L62)</f>
        <v>227.70437547962172</v>
      </c>
      <c r="M63" s="175">
        <f>SUM(M5:M62)</f>
        <v>0.99999999999999989</v>
      </c>
      <c r="N63" s="155"/>
      <c r="O63" s="172"/>
    </row>
    <row r="64" spans="1:15" x14ac:dyDescent="0.2">
      <c r="D64" s="316">
        <f>D63*VLOOKUP(TFP!$C$14, P5:Z21, 5, FALSE)</f>
        <v>27.107851442334876</v>
      </c>
      <c r="J64" s="80"/>
    </row>
    <row r="65" spans="6:10" x14ac:dyDescent="0.2">
      <c r="F65" s="52"/>
      <c r="J65" s="80"/>
    </row>
    <row r="66" spans="6:10" x14ac:dyDescent="0.2">
      <c r="F66" s="52"/>
      <c r="J66" s="80"/>
    </row>
  </sheetData>
  <mergeCells count="4">
    <mergeCell ref="B2:C2"/>
    <mergeCell ref="D2:E2"/>
    <mergeCell ref="F2:G2"/>
    <mergeCell ref="P2:Z2"/>
  </mergeCells>
  <phoneticPr fontId="3" type="noConversion"/>
  <pageMargins left="0.7" right="0.7" top="0.75" bottom="0.75" header="0.3" footer="0.3"/>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66"/>
  <sheetViews>
    <sheetView workbookViewId="0">
      <pane xSplit="2" ySplit="6" topLeftCell="C37" activePane="bottomRight" state="frozen"/>
      <selection pane="topRight" activeCell="C1" sqref="C1"/>
      <selection pane="bottomLeft" activeCell="A6" sqref="A6"/>
      <selection pane="bottomRight" activeCell="Q5" sqref="Q5"/>
    </sheetView>
  </sheetViews>
  <sheetFormatPr defaultColWidth="8.7109375" defaultRowHeight="12.75" x14ac:dyDescent="0.2"/>
  <cols>
    <col min="1" max="1" width="0.140625" style="108" hidden="1" customWidth="1"/>
    <col min="2" max="2" width="30.7109375" style="11" customWidth="1"/>
    <col min="3" max="19" width="10.42578125" style="11" customWidth="1"/>
    <col min="20" max="16384" width="8.7109375" style="11"/>
  </cols>
  <sheetData>
    <row r="1" spans="1:19" ht="15.75" x14ac:dyDescent="0.25">
      <c r="B1" s="10" t="s">
        <v>159</v>
      </c>
    </row>
    <row r="2" spans="1:19" ht="15.75" x14ac:dyDescent="0.25">
      <c r="B2" s="12" t="s">
        <v>204</v>
      </c>
    </row>
    <row r="3" spans="1:19" ht="15" x14ac:dyDescent="0.2">
      <c r="B3" s="329" t="s">
        <v>658</v>
      </c>
      <c r="C3" s="330">
        <f>'cost constraint'!D5</f>
        <v>1.3333333333333333</v>
      </c>
      <c r="D3" s="330">
        <f>'cost constraint'!D6</f>
        <v>1.3973799126637556</v>
      </c>
      <c r="E3" s="330">
        <f>'cost constraint'!D7</f>
        <v>1.4134078212290504</v>
      </c>
      <c r="F3" s="330">
        <f>'cost constraint'!D8</f>
        <v>1.4426966292134833</v>
      </c>
      <c r="G3" s="330">
        <f>'cost constraint'!D9</f>
        <v>1.3738140417457305</v>
      </c>
      <c r="H3" s="330">
        <f>'cost constraint'!D10</f>
        <v>1.4285714285714286</v>
      </c>
      <c r="I3" s="330">
        <f>'cost constraint'!D11</f>
        <v>1.4346895074946469</v>
      </c>
      <c r="J3" s="330"/>
      <c r="K3" s="330">
        <f>'cost constraint'!D13</f>
        <v>1.4385382059800662</v>
      </c>
      <c r="L3" s="330">
        <f>'cost constraint'!D14</f>
        <v>1.4522058823529411</v>
      </c>
      <c r="M3" s="330">
        <f>'cost constraint'!D15</f>
        <v>1.463235294117647</v>
      </c>
      <c r="N3" s="330">
        <f>'cost constraint'!D16</f>
        <v>1.4348623853211009</v>
      </c>
      <c r="O3" s="330">
        <f>'cost constraint'!D17</f>
        <v>1.4091743119266054</v>
      </c>
      <c r="P3" s="330"/>
      <c r="Q3" s="330">
        <f>'cost constraint'!D19</f>
        <v>1.4128440366972477</v>
      </c>
      <c r="R3" s="330">
        <f>'cost constraint'!D20</f>
        <v>1.4296435272045029</v>
      </c>
      <c r="S3" s="330">
        <f>'cost constraint'!D21</f>
        <v>1.3846153846153846</v>
      </c>
    </row>
    <row r="4" spans="1:19" s="14" customFormat="1" ht="15.75" x14ac:dyDescent="0.25">
      <c r="A4" s="109"/>
      <c r="B4" s="10"/>
      <c r="C4" s="484" t="s">
        <v>79</v>
      </c>
      <c r="D4" s="485"/>
      <c r="E4" s="485"/>
      <c r="F4" s="485"/>
      <c r="G4" s="485"/>
      <c r="H4" s="484" t="s">
        <v>44</v>
      </c>
      <c r="I4" s="485"/>
      <c r="J4" s="485"/>
      <c r="K4" s="485"/>
      <c r="L4" s="485"/>
      <c r="M4" s="485"/>
      <c r="N4" s="484" t="s">
        <v>45</v>
      </c>
      <c r="O4" s="485"/>
      <c r="P4" s="485"/>
      <c r="Q4" s="485"/>
      <c r="R4" s="485"/>
      <c r="S4" s="485"/>
    </row>
    <row r="5" spans="1:19" s="14" customFormat="1" x14ac:dyDescent="0.2">
      <c r="A5" s="109"/>
      <c r="B5" s="15" t="s">
        <v>591</v>
      </c>
      <c r="C5" s="13" t="s">
        <v>514</v>
      </c>
      <c r="D5" s="13" t="s">
        <v>515</v>
      </c>
      <c r="E5" s="13" t="s">
        <v>516</v>
      </c>
      <c r="F5" s="13" t="s">
        <v>517</v>
      </c>
      <c r="G5" s="13" t="s">
        <v>518</v>
      </c>
      <c r="H5" s="13" t="s">
        <v>519</v>
      </c>
      <c r="I5" s="13" t="s">
        <v>16</v>
      </c>
      <c r="J5" s="13" t="s">
        <v>520</v>
      </c>
      <c r="K5" s="335" t="s">
        <v>662</v>
      </c>
      <c r="L5" s="13" t="s">
        <v>522</v>
      </c>
      <c r="M5" s="13" t="s">
        <v>523</v>
      </c>
      <c r="N5" s="13" t="s">
        <v>519</v>
      </c>
      <c r="O5" s="13" t="s">
        <v>16</v>
      </c>
      <c r="P5" s="13" t="s">
        <v>520</v>
      </c>
      <c r="Q5" s="335" t="s">
        <v>662</v>
      </c>
      <c r="R5" s="13" t="s">
        <v>522</v>
      </c>
      <c r="S5" s="13" t="s">
        <v>523</v>
      </c>
    </row>
    <row r="6" spans="1:19" s="14" customFormat="1" ht="12" hidden="1" customHeight="1" x14ac:dyDescent="0.2">
      <c r="A6" s="109"/>
      <c r="B6" s="15"/>
      <c r="C6" t="s">
        <v>397</v>
      </c>
      <c r="D6" t="s">
        <v>401</v>
      </c>
      <c r="E6" t="s">
        <v>398</v>
      </c>
      <c r="F6" t="s">
        <v>399</v>
      </c>
      <c r="G6" t="s">
        <v>405</v>
      </c>
      <c r="H6" t="s">
        <v>402</v>
      </c>
      <c r="I6" t="s">
        <v>257</v>
      </c>
      <c r="J6" t="s">
        <v>258</v>
      </c>
      <c r="K6" s="332" t="s">
        <v>654</v>
      </c>
      <c r="L6" t="s">
        <v>260</v>
      </c>
      <c r="M6" t="s">
        <v>110</v>
      </c>
      <c r="N6" t="s">
        <v>261</v>
      </c>
      <c r="O6" t="s">
        <v>196</v>
      </c>
      <c r="P6" t="s">
        <v>262</v>
      </c>
      <c r="Q6" s="332" t="s">
        <v>655</v>
      </c>
      <c r="R6" t="s">
        <v>231</v>
      </c>
      <c r="S6" t="s">
        <v>109</v>
      </c>
    </row>
    <row r="7" spans="1:19" x14ac:dyDescent="0.2">
      <c r="A7" s="108">
        <v>2</v>
      </c>
      <c r="B7" s="2" t="s">
        <v>577</v>
      </c>
      <c r="C7" s="16">
        <f>'cost (old)'!C6*cost!C$3</f>
        <v>9.8496120619740335E-2</v>
      </c>
      <c r="D7" s="16">
        <f>'cost (old)'!D6*cost!D$3</f>
        <v>0.10777168551340727</v>
      </c>
      <c r="E7" s="16">
        <f>'cost (old)'!E6*cost!E$3</f>
        <v>0.11244355451299844</v>
      </c>
      <c r="F7" s="16">
        <f>'cost (old)'!F6*cost!F$3</f>
        <v>0.11991038776854171</v>
      </c>
      <c r="G7" s="16">
        <f>'cost (old)'!G6*cost!G$3</f>
        <v>0.10306760372819858</v>
      </c>
      <c r="H7" s="16">
        <f>'cost (old)'!H6*cost!H$3</f>
        <v>0.10353822921482259</v>
      </c>
      <c r="I7" s="16">
        <f>'cost (old)'!I6*cost!I$3</f>
        <v>0.10996090995476279</v>
      </c>
      <c r="J7" s="16"/>
      <c r="K7" s="16">
        <f>'cost (old)'!K6*cost!K$3</f>
        <v>0.13605743684452881</v>
      </c>
      <c r="L7" s="16">
        <f>'cost (old)'!L6*cost!L$3</f>
        <v>0.13040499579885348</v>
      </c>
      <c r="M7" s="16">
        <f>'cost (old)'!M6*cost!M$3</f>
        <v>0.17003370303938622</v>
      </c>
      <c r="N7" s="16">
        <f>'cost (old)'!N6*cost!N$3</f>
        <v>0.11211322462021217</v>
      </c>
      <c r="O7" s="16">
        <f>'cost (old)'!O6*cost!O$3</f>
        <v>0.12923466574473047</v>
      </c>
      <c r="P7" s="16"/>
      <c r="Q7" s="16">
        <f>'cost (old)'!Q6*cost!Q$3</f>
        <v>0.16702899158299253</v>
      </c>
      <c r="R7" s="16">
        <f>'cost (old)'!R6*cost!R$3</f>
        <v>0.14163033037278844</v>
      </c>
      <c r="S7" s="16">
        <f>'cost (old)'!S6*cost!S$3</f>
        <v>0.14313798947748993</v>
      </c>
    </row>
    <row r="8" spans="1:19" x14ac:dyDescent="0.2">
      <c r="A8" s="108">
        <v>3</v>
      </c>
      <c r="B8" s="3" t="s">
        <v>327</v>
      </c>
      <c r="C8" s="16">
        <f>'cost (old)'!C7*cost!C$3</f>
        <v>9.975877312402362E-2</v>
      </c>
      <c r="D8" s="16">
        <f>'cost (old)'!D7*cost!D$3</f>
        <v>0.10715713728407288</v>
      </c>
      <c r="E8" s="16">
        <f>'cost (old)'!E7*cost!E$3</f>
        <v>0.10771120194389051</v>
      </c>
      <c r="F8" s="16">
        <f>'cost (old)'!F7*cost!F$3</f>
        <v>0.10397216990824996</v>
      </c>
      <c r="G8" s="16">
        <f>'cost (old)'!G7*cost!G$3</f>
        <v>9.7207690073121453E-2</v>
      </c>
      <c r="H8" s="16">
        <f>'cost (old)'!H7*cost!H$3</f>
        <v>9.4331571280129867E-2</v>
      </c>
      <c r="I8" s="16">
        <f>'cost (old)'!I7*cost!I$3</f>
        <v>9.8038321202264356E-2</v>
      </c>
      <c r="J8" s="16"/>
      <c r="K8" s="16">
        <f>'cost (old)'!K7*cost!K$3</f>
        <v>0.112310304885076</v>
      </c>
      <c r="L8" s="16">
        <f>'cost (old)'!L7*cost!L$3</f>
        <v>0.11262833155346938</v>
      </c>
      <c r="M8" s="16">
        <f>'cost (old)'!M7*cost!M$3</f>
        <v>0.10479218331794662</v>
      </c>
      <c r="N8" s="16">
        <f>'cost (old)'!N7*cost!N$3</f>
        <v>9.9515903745816217E-2</v>
      </c>
      <c r="O8" s="16">
        <f>'cost (old)'!O7*cost!O$3</f>
        <v>0.10475765898827365</v>
      </c>
      <c r="P8" s="16"/>
      <c r="Q8" s="16">
        <f>'cost (old)'!Q7*cost!Q$3</f>
        <v>0.11693281042584859</v>
      </c>
      <c r="R8" s="16">
        <f>'cost (old)'!R7*cost!R$3</f>
        <v>0.10126228510301012</v>
      </c>
      <c r="S8" s="16">
        <f>'cost (old)'!S7*cost!S$3</f>
        <v>0.10302657282127217</v>
      </c>
    </row>
    <row r="9" spans="1:19" x14ac:dyDescent="0.2">
      <c r="A9" s="108">
        <v>4</v>
      </c>
      <c r="B9" s="2" t="s">
        <v>29</v>
      </c>
      <c r="C9" s="16">
        <f>'cost (old)'!C8*cost!C$3</f>
        <v>0.83178260236753332</v>
      </c>
      <c r="D9" s="16">
        <f>'cost (old)'!D8*cost!D$3</f>
        <v>0.87693526140016731</v>
      </c>
      <c r="E9" s="16">
        <f>'cost (old)'!E8*cost!E$3</f>
        <v>0.89184257016888424</v>
      </c>
      <c r="F9" s="16">
        <f>'cost (old)'!F8*cost!F$3</f>
        <v>0.85798133947027344</v>
      </c>
      <c r="G9" s="16">
        <f>'cost (old)'!G8*cost!G$3</f>
        <v>0.89339746422720856</v>
      </c>
      <c r="H9" s="16">
        <f>'cost (old)'!H8*cost!H$3</f>
        <v>0.97527605678622731</v>
      </c>
      <c r="I9" s="16">
        <f>'cost (old)'!I8*cost!I$3</f>
        <v>1.002185587667408</v>
      </c>
      <c r="J9" s="16"/>
      <c r="K9" s="16">
        <f>'cost (old)'!K8*cost!K$3</f>
        <v>0.95286148095014866</v>
      </c>
      <c r="L9" s="16">
        <f>'cost (old)'!L8*cost!L$3</f>
        <v>0.96936863673769547</v>
      </c>
      <c r="M9" s="16">
        <f>'cost (old)'!M8*cost!M$3</f>
        <v>1.0539569242471298</v>
      </c>
      <c r="N9" s="16">
        <f>'cost (old)'!N8*cost!N$3</f>
        <v>1.1310367019318102</v>
      </c>
      <c r="O9" s="16">
        <f>'cost (old)'!O8*cost!O$3</f>
        <v>0.95124911819702196</v>
      </c>
      <c r="P9" s="16"/>
      <c r="Q9" s="16">
        <f>'cost (old)'!Q8*cost!Q$3</f>
        <v>0.92949873599408217</v>
      </c>
      <c r="R9" s="16">
        <f>'cost (old)'!R8*cost!R$3</f>
        <v>0.85673685155902723</v>
      </c>
      <c r="S9" s="16">
        <f>'cost (old)'!S8*cost!S$3</f>
        <v>0.72864947495894672</v>
      </c>
    </row>
    <row r="10" spans="1:19" x14ac:dyDescent="0.2">
      <c r="A10" s="108">
        <v>5</v>
      </c>
      <c r="B10" s="3" t="s">
        <v>60</v>
      </c>
      <c r="C10" s="16">
        <f>'cost (old)'!C9*cost!C$3</f>
        <v>0.34701003636593386</v>
      </c>
      <c r="D10" s="16">
        <f>'cost (old)'!D9*cost!D$3</f>
        <v>0.19459128350609142</v>
      </c>
      <c r="E10" s="16">
        <f>'cost (old)'!E9*cost!E$3</f>
        <v>0.22759986972782859</v>
      </c>
      <c r="F10" s="16">
        <f>'cost (old)'!F9*cost!F$3</f>
        <v>0.27360737386539413</v>
      </c>
      <c r="G10" s="16">
        <f>'cost (old)'!G9*cost!G$3</f>
        <v>0.24811164914989067</v>
      </c>
      <c r="H10" s="16">
        <f>'cost (old)'!H9*cost!H$3</f>
        <v>0.27158136154435369</v>
      </c>
      <c r="I10" s="16">
        <f>'cost (old)'!I9*cost!I$3</f>
        <v>0.36233234492963828</v>
      </c>
      <c r="J10" s="16"/>
      <c r="K10" s="16">
        <f>'cost (old)'!K9*cost!K$3</f>
        <v>0.38333924792509699</v>
      </c>
      <c r="L10" s="16">
        <f>'cost (old)'!L9*cost!L$3</f>
        <v>0.40598021452872973</v>
      </c>
      <c r="M10" s="16">
        <f>'cost (old)'!M9*cost!M$3</f>
        <v>0.37934188728582885</v>
      </c>
      <c r="N10" s="16">
        <f>'cost (old)'!N9*cost!N$3</f>
        <v>0.31981785618647868</v>
      </c>
      <c r="O10" s="16">
        <f>'cost (old)'!O9*cost!O$3</f>
        <v>0.29026648555939444</v>
      </c>
      <c r="P10" s="16"/>
      <c r="Q10" s="16">
        <f>'cost (old)'!Q9*cost!Q$3</f>
        <v>0.38156542821034406</v>
      </c>
      <c r="R10" s="16">
        <f>'cost (old)'!R9*cost!R$3</f>
        <v>0.30306966663368123</v>
      </c>
      <c r="S10" s="16">
        <f>'cost (old)'!S9*cost!S$3</f>
        <v>0.32340179962669613</v>
      </c>
    </row>
    <row r="11" spans="1:19" x14ac:dyDescent="0.2">
      <c r="A11" s="108">
        <v>6</v>
      </c>
      <c r="B11" s="3" t="s">
        <v>61</v>
      </c>
      <c r="C11" s="16">
        <f>'cost (old)'!C10*cost!C$3</f>
        <v>0.2138618577918025</v>
      </c>
      <c r="D11" s="16">
        <f>'cost (old)'!D10*cost!D$3</f>
        <v>0.17668166217128331</v>
      </c>
      <c r="E11" s="16">
        <f>'cost (old)'!E10*cost!E$3</f>
        <v>0.16505395796332981</v>
      </c>
      <c r="F11" s="16">
        <f>'cost (old)'!F10*cost!F$3</f>
        <v>0.24331648362508498</v>
      </c>
      <c r="G11" s="16">
        <f>'cost (old)'!G10*cost!G$3</f>
        <v>0.34543878608621126</v>
      </c>
      <c r="H11" s="16">
        <f>'cost (old)'!H10*cost!H$3</f>
        <v>0.29774582803317767</v>
      </c>
      <c r="I11" s="16">
        <f>'cost (old)'!I10*cost!I$3</f>
        <v>0.23003430689936388</v>
      </c>
      <c r="J11" s="16"/>
      <c r="K11" s="16">
        <f>'cost (old)'!K10*cost!K$3</f>
        <v>0.26859985718253843</v>
      </c>
      <c r="L11" s="16">
        <f>'cost (old)'!L10*cost!L$3</f>
        <v>0.20346661601513674</v>
      </c>
      <c r="M11" s="16">
        <f>'cost (old)'!M10*cost!M$3</f>
        <v>0.25507593969365122</v>
      </c>
      <c r="N11" s="16">
        <f>'cost (old)'!N10*cost!N$3</f>
        <v>0.28836076333334693</v>
      </c>
      <c r="O11" s="16">
        <f>'cost (old)'!O10*cost!O$3</f>
        <v>0.21225493083536282</v>
      </c>
      <c r="P11" s="16"/>
      <c r="Q11" s="16">
        <f>'cost (old)'!Q10*cost!Q$3</f>
        <v>0.27868977030237924</v>
      </c>
      <c r="R11" s="16">
        <f>'cost (old)'!R10*cost!R$3</f>
        <v>0.3756012168268818</v>
      </c>
      <c r="S11" s="16">
        <f>'cost (old)'!S10*cost!S$3</f>
        <v>0.19604453949017572</v>
      </c>
    </row>
    <row r="12" spans="1:19" x14ac:dyDescent="0.2">
      <c r="A12" s="108">
        <v>7</v>
      </c>
      <c r="B12" s="3" t="s">
        <v>425</v>
      </c>
      <c r="C12" s="16">
        <f>'cost (old)'!C11*cost!C$3</f>
        <v>0.63366388724512912</v>
      </c>
      <c r="D12" s="16">
        <f>'cost (old)'!D11*cost!D$3</f>
        <v>0.75779006667797266</v>
      </c>
      <c r="E12" s="16">
        <f>'cost (old)'!E11*cost!E$3</f>
        <v>0.72813026444121021</v>
      </c>
      <c r="F12" s="16">
        <f>'cost (old)'!F11*cost!F$3</f>
        <v>0.74028897431502461</v>
      </c>
      <c r="G12" s="16">
        <f>'cost (old)'!G11*cost!G$3</f>
        <v>0.68637567929762833</v>
      </c>
      <c r="H12" s="16">
        <f>'cost (old)'!H11*cost!H$3</f>
        <v>0.64658149795092312</v>
      </c>
      <c r="I12" s="16">
        <f>'cost (old)'!I11*cost!I$3</f>
        <v>0.63097691858344018</v>
      </c>
      <c r="J12" s="16"/>
      <c r="K12" s="16">
        <f>'cost (old)'!K11*cost!K$3</f>
        <v>0.71968398765548458</v>
      </c>
      <c r="L12" s="16">
        <f>'cost (old)'!L11*cost!L$3</f>
        <v>0.71727878601952522</v>
      </c>
      <c r="M12" s="16">
        <f>'cost (old)'!M11*cost!M$3</f>
        <v>0.74171023945973713</v>
      </c>
      <c r="N12" s="16">
        <f>'cost (old)'!N11*cost!N$3</f>
        <v>0.73201539092129564</v>
      </c>
      <c r="O12" s="16">
        <f>'cost (old)'!O11*cost!O$3</f>
        <v>0.61442246431545666</v>
      </c>
      <c r="P12" s="16"/>
      <c r="Q12" s="16">
        <f>'cost (old)'!Q11*cost!Q$3</f>
        <v>0.70221720818874378</v>
      </c>
      <c r="R12" s="16">
        <f>'cost (old)'!R11*cost!R$3</f>
        <v>0.7338410732526347</v>
      </c>
      <c r="S12" s="16">
        <f>'cost (old)'!S11*cost!S$3</f>
        <v>0.77447024336185888</v>
      </c>
    </row>
    <row r="13" spans="1:19" x14ac:dyDescent="0.2">
      <c r="A13" s="108">
        <v>8</v>
      </c>
      <c r="B13" s="3" t="s">
        <v>324</v>
      </c>
      <c r="C13" s="16">
        <f>'cost (old)'!C12*cost!C$3</f>
        <v>1.4523827151292292</v>
      </c>
      <c r="D13" s="16">
        <f>'cost (old)'!D12*cost!D$3</f>
        <v>1.18959979648003</v>
      </c>
      <c r="E13" s="16">
        <f>'cost (old)'!E12*cost!E$3</f>
        <v>1.4640478905235175</v>
      </c>
      <c r="F13" s="16">
        <f>'cost (old)'!F12*cost!F$3</f>
        <v>1.5188103507946187</v>
      </c>
      <c r="G13" s="16">
        <f>'cost (old)'!G12*cost!G$3</f>
        <v>1.3475251655051004</v>
      </c>
      <c r="H13" s="16">
        <f>'cost (old)'!H12*cost!H$3</f>
        <v>1.5032346817340616</v>
      </c>
      <c r="I13" s="16">
        <f>'cost (old)'!I12*cost!I$3</f>
        <v>1.5066380395024026</v>
      </c>
      <c r="J13" s="16"/>
      <c r="K13" s="16">
        <f>'cost (old)'!K12*cost!K$3</f>
        <v>1.3034464619561192</v>
      </c>
      <c r="L13" s="16">
        <f>'cost (old)'!L12*cost!L$3</f>
        <v>1.2487935152811187</v>
      </c>
      <c r="M13" s="16">
        <f>'cost (old)'!M12*cost!M$3</f>
        <v>1.2222763503713217</v>
      </c>
      <c r="N13" s="16">
        <f>'cost (old)'!N12*cost!N$3</f>
        <v>1.4096133362623413</v>
      </c>
      <c r="O13" s="16">
        <f>'cost (old)'!O12*cost!O$3</f>
        <v>1.5077714402496258</v>
      </c>
      <c r="P13" s="16"/>
      <c r="Q13" s="16">
        <f>'cost (old)'!Q12*cost!Q$3</f>
        <v>1.3804978030797912</v>
      </c>
      <c r="R13" s="16">
        <f>'cost (old)'!R12*cost!R$3</f>
        <v>1.3185474811873168</v>
      </c>
      <c r="S13" s="16">
        <f>'cost (old)'!S12*cost!S$3</f>
        <v>1.1488060740811099</v>
      </c>
    </row>
    <row r="14" spans="1:19" x14ac:dyDescent="0.2">
      <c r="A14" s="108">
        <v>9</v>
      </c>
      <c r="B14" s="3" t="s">
        <v>616</v>
      </c>
      <c r="C14" s="16">
        <f>'cost (old)'!C13*cost!C$3</f>
        <v>0.76781873197090089</v>
      </c>
      <c r="D14" s="16">
        <f>'cost (old)'!D13*cost!D$3</f>
        <v>0.70340276844377569</v>
      </c>
      <c r="E14" s="16">
        <f>'cost (old)'!E13*cost!E$3</f>
        <v>0.79339178915080222</v>
      </c>
      <c r="F14" s="16">
        <f>'cost (old)'!F13*cost!F$3</f>
        <v>0.74642459458152333</v>
      </c>
      <c r="G14" s="16">
        <f>'cost (old)'!G13*cost!G$3</f>
        <v>0.59070846576457903</v>
      </c>
      <c r="H14" s="16">
        <f>'cost (old)'!H13*cost!H$3</f>
        <v>0.78668924110554783</v>
      </c>
      <c r="I14" s="16">
        <f>'cost (old)'!I13*cost!I$3</f>
        <v>0.66980646946404732</v>
      </c>
      <c r="J14" s="16"/>
      <c r="K14" s="16">
        <f>'cost (old)'!K13*cost!K$3</f>
        <v>0.61810594799385576</v>
      </c>
      <c r="L14" s="16">
        <f>'cost (old)'!L13*cost!L$3</f>
        <v>0.56465726872787891</v>
      </c>
      <c r="M14" s="16">
        <f>'cost (old)'!M13*cost!M$3</f>
        <v>0.58421107321195476</v>
      </c>
      <c r="N14" s="16">
        <f>'cost (old)'!N13*cost!N$3</f>
        <v>0.57241651225783174</v>
      </c>
      <c r="O14" s="16">
        <f>'cost (old)'!O13*cost!O$3</f>
        <v>0.73000946923693943</v>
      </c>
      <c r="P14" s="16"/>
      <c r="Q14" s="16">
        <f>'cost (old)'!Q13*cost!Q$3</f>
        <v>0.63429699320197708</v>
      </c>
      <c r="R14" s="16">
        <f>'cost (old)'!R13*cost!R$3</f>
        <v>0.70891668215093628</v>
      </c>
      <c r="S14" s="16">
        <f>'cost (old)'!S13*cost!S$3</f>
        <v>0.66580750574553071</v>
      </c>
    </row>
    <row r="15" spans="1:19" x14ac:dyDescent="0.2">
      <c r="A15" s="108">
        <v>10</v>
      </c>
      <c r="B15" s="3" t="s">
        <v>617</v>
      </c>
      <c r="C15" s="16">
        <f>'cost (old)'!C14*cost!C$3</f>
        <v>1.5357140649552692</v>
      </c>
      <c r="D15" s="16">
        <f>'cost (old)'!D14*cost!D$3</f>
        <v>1.6252533225019692</v>
      </c>
      <c r="E15" s="16">
        <f>'cost (old)'!E14*cost!E$3</f>
        <v>1.6280421426869245</v>
      </c>
      <c r="F15" s="16">
        <f>'cost (old)'!F14*cost!F$3</f>
        <v>1.734302672843486</v>
      </c>
      <c r="G15" s="16">
        <f>'cost (old)'!G14*cost!G$3</f>
        <v>1.6719111828799307</v>
      </c>
      <c r="H15" s="16">
        <f>'cost (old)'!H14*cost!H$3</f>
        <v>1.7214033250442557</v>
      </c>
      <c r="I15" s="16">
        <f>'cost (old)'!I14*cost!I$3</f>
        <v>1.6650451527525929</v>
      </c>
      <c r="J15" s="16"/>
      <c r="K15" s="16">
        <f>'cost (old)'!K14*cost!K$3</f>
        <v>1.679979472270527</v>
      </c>
      <c r="L15" s="16">
        <f>'cost (old)'!L14*cost!L$3</f>
        <v>1.871968976376742</v>
      </c>
      <c r="M15" s="16">
        <f>'cost (old)'!M14*cost!M$3</f>
        <v>1.7934764458665797</v>
      </c>
      <c r="N15" s="16">
        <f>'cost (old)'!N14*cost!N$3</f>
        <v>1.6553078723185475</v>
      </c>
      <c r="O15" s="16">
        <f>'cost (old)'!O14*cost!O$3</f>
        <v>1.5615859848814488</v>
      </c>
      <c r="P15" s="16"/>
      <c r="Q15" s="16">
        <f>'cost (old)'!Q14*cost!Q$3</f>
        <v>1.6125579516477428</v>
      </c>
      <c r="R15" s="16">
        <f>'cost (old)'!R14*cost!R$3</f>
        <v>1.7885597023563389</v>
      </c>
      <c r="S15" s="16">
        <f>'cost (old)'!S14*cost!S$3</f>
        <v>1.5731038044310677</v>
      </c>
    </row>
    <row r="16" spans="1:19" x14ac:dyDescent="0.2">
      <c r="A16" s="108">
        <v>11</v>
      </c>
      <c r="B16" s="3" t="s">
        <v>562</v>
      </c>
      <c r="C16" s="16">
        <f>'cost (old)'!C15*cost!C$3</f>
        <v>0.73153186834138806</v>
      </c>
      <c r="D16" s="16">
        <f>'cost (old)'!D15*cost!D$3</f>
        <v>0.76795711654358401</v>
      </c>
      <c r="E16" s="16">
        <f>'cost (old)'!E15*cost!E$3</f>
        <v>0.82276151918374951</v>
      </c>
      <c r="F16" s="16">
        <f>'cost (old)'!F15*cost!F$3</f>
        <v>0.81336990327391956</v>
      </c>
      <c r="G16" s="16">
        <f>'cost (old)'!G15*cost!G$3</f>
        <v>0.75612128028729819</v>
      </c>
      <c r="H16" s="16">
        <f>'cost (old)'!H15*cost!H$3</f>
        <v>0.86168896441180709</v>
      </c>
      <c r="I16" s="16">
        <f>'cost (old)'!I15*cost!I$3</f>
        <v>0.76886496394999193</v>
      </c>
      <c r="J16" s="16"/>
      <c r="K16" s="16">
        <f>'cost (old)'!K15*cost!K$3</f>
        <v>0.77504508269501238</v>
      </c>
      <c r="L16" s="16">
        <f>'cost (old)'!L15*cost!L$3</f>
        <v>0.81295087646918052</v>
      </c>
      <c r="M16" s="16">
        <f>'cost (old)'!M15*cost!M$3</f>
        <v>0.83557133677696582</v>
      </c>
      <c r="N16" s="16">
        <f>'cost (old)'!N15*cost!N$3</f>
        <v>0.75151248859102637</v>
      </c>
      <c r="O16" s="16">
        <f>'cost (old)'!O15*cost!O$3</f>
        <v>0.70872810417242982</v>
      </c>
      <c r="P16" s="16"/>
      <c r="Q16" s="16">
        <f>'cost (old)'!Q15*cost!Q$3</f>
        <v>0.78552787210966091</v>
      </c>
      <c r="R16" s="16">
        <f>'cost (old)'!R15*cost!R$3</f>
        <v>0.86233563530442392</v>
      </c>
      <c r="S16" s="16">
        <f>'cost (old)'!S15*cost!S$3</f>
        <v>0.72907533496392674</v>
      </c>
    </row>
    <row r="17" spans="1:19" x14ac:dyDescent="0.2">
      <c r="A17" s="108">
        <v>12</v>
      </c>
      <c r="B17" s="3" t="s">
        <v>571</v>
      </c>
      <c r="C17" s="16">
        <f>'cost (old)'!C16*cost!C$3</f>
        <v>2.2976785287538255</v>
      </c>
      <c r="D17" s="16">
        <f>'cost (old)'!D16*cost!D$3</f>
        <v>1.2760593103397315</v>
      </c>
      <c r="E17" s="16">
        <f>'cost (old)'!E16*cost!E$3</f>
        <v>1.5001025035155495</v>
      </c>
      <c r="F17" s="16">
        <f>'cost (old)'!F16*cost!F$3</f>
        <v>1.8158012804951966</v>
      </c>
      <c r="G17" s="16">
        <f>'cost (old)'!G16*cost!G$3</f>
        <v>1.3630063295115402</v>
      </c>
      <c r="H17" s="16">
        <f>'cost (old)'!H16*cost!H$3</f>
        <v>1.2842570655962564</v>
      </c>
      <c r="I17" s="16">
        <f>'cost (old)'!I16*cost!I$3</f>
        <v>1.924515362969685</v>
      </c>
      <c r="J17" s="16"/>
      <c r="K17" s="16">
        <f>'cost (old)'!K16*cost!K$3</f>
        <v>1.5983770507628992</v>
      </c>
      <c r="L17" s="16">
        <f>'cost (old)'!L16*cost!L$3</f>
        <v>1.5367838268640808</v>
      </c>
      <c r="M17" s="16">
        <f>'cost (old)'!M16*cost!M$3</f>
        <v>1.8494567728564029</v>
      </c>
      <c r="N17" s="16">
        <f>'cost (old)'!N16*cost!N$3</f>
        <v>1.5969749362406245</v>
      </c>
      <c r="O17" s="16">
        <f>'cost (old)'!O16*cost!O$3</f>
        <v>1.6169622851685388</v>
      </c>
      <c r="P17" s="16"/>
      <c r="Q17" s="16">
        <f>'cost (old)'!Q16*cost!Q$3</f>
        <v>1.5459206963840404</v>
      </c>
      <c r="R17" s="16">
        <f>'cost (old)'!R16*cost!R$3</f>
        <v>1.4241955524097256</v>
      </c>
      <c r="S17" s="16">
        <f>'cost (old)'!S16*cost!S$3</f>
        <v>1.5136412196763704</v>
      </c>
    </row>
    <row r="18" spans="1:19" x14ac:dyDescent="0.2">
      <c r="A18" s="108">
        <v>13</v>
      </c>
      <c r="B18" s="3" t="s">
        <v>450</v>
      </c>
      <c r="C18" s="16">
        <f>'cost (old)'!C17*cost!C$3</f>
        <v>0.44661141375153324</v>
      </c>
      <c r="D18" s="16">
        <f>'cost (old)'!D17*cost!D$3</f>
        <v>0.4680643637570655</v>
      </c>
      <c r="E18" s="16">
        <f>'cost (old)'!E17*cost!E$3</f>
        <v>0.20977807090001707</v>
      </c>
      <c r="F18" s="16">
        <f>'cost (old)'!F17*cost!F$3</f>
        <v>0.30896296741349155</v>
      </c>
      <c r="G18" s="16">
        <f>'cost (old)'!G17*cost!G$3</f>
        <v>0.29421130847410754</v>
      </c>
      <c r="H18" s="16">
        <f>'cost (old)'!H17*cost!H$3</f>
        <v>0.47851222901949997</v>
      </c>
      <c r="I18" s="16">
        <f>'cost (old)'!I17*cost!I$3</f>
        <v>0.48056153192750639</v>
      </c>
      <c r="J18" s="16"/>
      <c r="K18" s="16">
        <f>'cost (old)'!K17*cost!K$3</f>
        <v>0.45991076844098017</v>
      </c>
      <c r="L18" s="16">
        <f>'cost (old)'!L17*cost!L$3</f>
        <v>0.4235800745485746</v>
      </c>
      <c r="M18" s="16">
        <f>'cost (old)'!M17*cost!M$3</f>
        <v>0.6705919505119371</v>
      </c>
      <c r="N18" s="16">
        <f>'cost (old)'!N17*cost!N$3</f>
        <v>0.48061943883536562</v>
      </c>
      <c r="O18" s="16">
        <f>'cost (old)'!O17*cost!O$3</f>
        <v>0.47201499875391401</v>
      </c>
      <c r="P18" s="16"/>
      <c r="Q18" s="16">
        <f>'cost (old)'!Q17*cost!Q$3</f>
        <v>0.47324420447983573</v>
      </c>
      <c r="R18" s="16">
        <f>'cost (old)'!R17*cost!R$3</f>
        <v>0.5553115317457652</v>
      </c>
      <c r="S18" s="16">
        <f>'cost (old)'!S17*cost!S$3</f>
        <v>0.4396293157594322</v>
      </c>
    </row>
    <row r="19" spans="1:19" x14ac:dyDescent="0.2">
      <c r="A19" s="108">
        <v>14</v>
      </c>
      <c r="B19" s="3" t="s">
        <v>451</v>
      </c>
      <c r="C19" s="16">
        <f>'cost (old)'!C18*cost!C$3</f>
        <v>1.6120085208277832</v>
      </c>
      <c r="D19" s="16">
        <f>'cost (old)'!D18*cost!D$3</f>
        <v>1.6810463899076074</v>
      </c>
      <c r="E19" s="16">
        <f>'cost (old)'!E18*cost!E$3</f>
        <v>1.2581033012055032</v>
      </c>
      <c r="F19" s="16">
        <f>'cost (old)'!F18*cost!F$3</f>
        <v>3.1930747502471908</v>
      </c>
      <c r="G19" s="16">
        <f>'cost (old)'!G18*cost!G$3</f>
        <v>2.2426065784311207</v>
      </c>
      <c r="H19" s="16">
        <f>'cost (old)'!H18*cost!H$3</f>
        <v>1.6235635682524188</v>
      </c>
      <c r="I19" s="16">
        <f>'cost (old)'!I18*cost!I$3</f>
        <v>2.3196220272421102</v>
      </c>
      <c r="J19" s="16"/>
      <c r="K19" s="16">
        <f>'cost (old)'!K18*cost!K$3</f>
        <v>2.213787937495252</v>
      </c>
      <c r="L19" s="16">
        <f>'cost (old)'!L18*cost!L$3</f>
        <v>1.9736555035152197</v>
      </c>
      <c r="M19" s="16">
        <f>'cost (old)'!M18*cost!M$3</f>
        <v>2.1480569219118872</v>
      </c>
      <c r="N19" s="16">
        <f>'cost (old)'!N18*cost!N$3</f>
        <v>2.3529709336760622</v>
      </c>
      <c r="O19" s="16">
        <f>'cost (old)'!O18*cost!O$3</f>
        <v>2.3108461343519382</v>
      </c>
      <c r="P19" s="16"/>
      <c r="Q19" s="16">
        <f>'cost (old)'!Q18*cost!Q$3</f>
        <v>2.3168639628268135</v>
      </c>
      <c r="R19" s="16">
        <f>'cost (old)'!R18*cost!R$3</f>
        <v>2.1895986305214254</v>
      </c>
      <c r="S19" s="16">
        <f>'cost (old)'!S18*cost!S$3</f>
        <v>1.6081890795060421</v>
      </c>
    </row>
    <row r="20" spans="1:19" x14ac:dyDescent="0.2">
      <c r="A20" s="108">
        <v>15</v>
      </c>
      <c r="B20" s="3" t="s">
        <v>452</v>
      </c>
      <c r="C20" s="16">
        <f>'cost (old)'!C19*cost!C$3</f>
        <v>0.52642485254773319</v>
      </c>
      <c r="D20" s="16">
        <f>'cost (old)'!D19*cost!D$3</f>
        <v>0.5272921791745383</v>
      </c>
      <c r="E20" s="16">
        <f>'cost (old)'!E19*cost!E$3</f>
        <v>0.52800903412761213</v>
      </c>
      <c r="F20" s="16">
        <f>'cost (old)'!F19*cost!F$3</f>
        <v>0.5398883081291963</v>
      </c>
      <c r="G20" s="16">
        <f>'cost (old)'!G19*cost!G$3</f>
        <v>0.51443536899406384</v>
      </c>
      <c r="H20" s="16">
        <f>'cost (old)'!H19*cost!H$3</f>
        <v>0.55920299365410031</v>
      </c>
      <c r="I20" s="16">
        <f>'cost (old)'!I19*cost!I$3</f>
        <v>0.56008674494218325</v>
      </c>
      <c r="J20" s="16"/>
      <c r="K20" s="16">
        <f>'cost (old)'!K19*cost!K$3</f>
        <v>0.49414292600425763</v>
      </c>
      <c r="L20" s="16">
        <f>'cost (old)'!L19*cost!L$3</f>
        <v>0.53492732184393754</v>
      </c>
      <c r="M20" s="16">
        <f>'cost (old)'!M19*cost!M$3</f>
        <v>0.57557250847668551</v>
      </c>
      <c r="N20" s="16">
        <f>'cost (old)'!N19*cost!N$3</f>
        <v>0.53725107066125333</v>
      </c>
      <c r="O20" s="16">
        <f>'cost (old)'!O19*cost!O$3</f>
        <v>0.50708339572610017</v>
      </c>
      <c r="P20" s="16"/>
      <c r="Q20" s="16">
        <f>'cost (old)'!Q19*cost!Q$3</f>
        <v>0.50846381563008936</v>
      </c>
      <c r="R20" s="16">
        <f>'cost (old)'!R19*cost!R$3</f>
        <v>0.51211277772589581</v>
      </c>
      <c r="S20" s="16">
        <f>'cost (old)'!S19*cost!S$3</f>
        <v>0.51705105234505544</v>
      </c>
    </row>
    <row r="21" spans="1:19" x14ac:dyDescent="0.2">
      <c r="A21" s="108">
        <v>16</v>
      </c>
      <c r="B21" s="3" t="s">
        <v>453</v>
      </c>
      <c r="C21" s="16">
        <f>'cost (old)'!C20*cost!C$3</f>
        <v>0.76077344023177906</v>
      </c>
      <c r="D21" s="16">
        <f>'cost (old)'!D20*cost!D$3</f>
        <v>0.78792645529492999</v>
      </c>
      <c r="E21" s="16">
        <f>'cost (old)'!E20*cost!E$3</f>
        <v>0.73699491898495595</v>
      </c>
      <c r="F21" s="16">
        <f>'cost (old)'!F20*cost!F$3</f>
        <v>0.89171259502689926</v>
      </c>
      <c r="G21" s="16">
        <f>'cost (old)'!G20*cost!G$3</f>
        <v>0.84197622562873675</v>
      </c>
      <c r="H21" s="16">
        <f>'cost (old)'!H20*cost!H$3</f>
        <v>0.89225814254048075</v>
      </c>
      <c r="I21" s="16">
        <f>'cost (old)'!I20*cost!I$3</f>
        <v>0.85627515025096979</v>
      </c>
      <c r="J21" s="16"/>
      <c r="K21" s="16">
        <f>'cost (old)'!K20*cost!K$3</f>
        <v>0.90357198447151554</v>
      </c>
      <c r="L21" s="16">
        <f>'cost (old)'!L20*cost!L$3</f>
        <v>1.0172729286951006</v>
      </c>
      <c r="M21" s="16">
        <f>'cost (old)'!M20*cost!M$3</f>
        <v>0.95284232729575136</v>
      </c>
      <c r="N21" s="16">
        <f>'cost (old)'!N20*cost!N$3</f>
        <v>0.79140658111453988</v>
      </c>
      <c r="O21" s="16">
        <f>'cost (old)'!O20*cost!O$3</f>
        <v>0.9396518380392227</v>
      </c>
      <c r="P21" s="16"/>
      <c r="Q21" s="16">
        <f>'cost (old)'!Q20*cost!Q$3</f>
        <v>0.8033855389418938</v>
      </c>
      <c r="R21" s="16">
        <f>'cost (old)'!R20*cost!R$3</f>
        <v>0.82908711858009854</v>
      </c>
      <c r="S21" s="16">
        <f>'cost (old)'!S20*cost!S$3</f>
        <v>0.76892899875364529</v>
      </c>
    </row>
    <row r="22" spans="1:19" x14ac:dyDescent="0.2">
      <c r="A22" s="108">
        <v>17</v>
      </c>
      <c r="B22" s="3" t="s">
        <v>445</v>
      </c>
      <c r="C22" s="16">
        <f>'cost (old)'!C21*cost!C$3</f>
        <v>0.24689325245446792</v>
      </c>
      <c r="D22" s="16">
        <f>'cost (old)'!D21*cost!D$3</f>
        <v>0.25875275366407119</v>
      </c>
      <c r="E22" s="16">
        <f>'cost (old)'!E21*cost!E$3</f>
        <v>0.51289033131584083</v>
      </c>
      <c r="F22" s="16">
        <f>'cost (old)'!F21*cost!F$3</f>
        <v>0.52351850685396628</v>
      </c>
      <c r="G22" s="16">
        <f>'cost (old)'!G21*cost!G$3</f>
        <v>0.4985227394769986</v>
      </c>
      <c r="H22" s="16">
        <f>'cost (old)'!H21*cost!H$3</f>
        <v>0.59210823281952529</v>
      </c>
      <c r="I22" s="16">
        <f>'cost (old)'!I21*cost!I$3</f>
        <v>0.5946440282491593</v>
      </c>
      <c r="J22" s="16"/>
      <c r="K22" s="16">
        <f>'cost (old)'!K21*cost!K$3</f>
        <v>0.51135168473307557</v>
      </c>
      <c r="L22" s="16">
        <f>'cost (old)'!L21*cost!L$3</f>
        <v>0.51621008147958014</v>
      </c>
      <c r="M22" s="16">
        <f>'cost (old)'!M21*cost!M$3</f>
        <v>0.6064755649394109</v>
      </c>
      <c r="N22" s="16">
        <f>'cost (old)'!N21*cost!N$3</f>
        <v>0.24955689302706893</v>
      </c>
      <c r="O22" s="16">
        <f>'cost (old)'!O21*cost!O$3</f>
        <v>0.24508912256366869</v>
      </c>
      <c r="P22" s="16"/>
      <c r="Q22" s="16">
        <f>'cost (old)'!Q21*cost!Q$3</f>
        <v>0.55885897676392315</v>
      </c>
      <c r="R22" s="16">
        <f>'cost (old)'!R21*cost!R$3</f>
        <v>0.54414413379652049</v>
      </c>
      <c r="S22" s="16">
        <f>'cost (old)'!S21*cost!S$3</f>
        <v>0.52700573588166943</v>
      </c>
    </row>
    <row r="23" spans="1:19" x14ac:dyDescent="0.2">
      <c r="A23" s="108">
        <v>18</v>
      </c>
      <c r="B23" s="3" t="s">
        <v>446</v>
      </c>
      <c r="C23" s="16">
        <f>'cost (old)'!C22*cost!C$3</f>
        <v>1.0770318257238176</v>
      </c>
      <c r="D23" s="16">
        <f>'cost (old)'!D22*cost!D$3</f>
        <v>1.2194777540920649</v>
      </c>
      <c r="E23" s="16">
        <f>'cost (old)'!E22*cost!E$3</f>
        <v>1.3178385117103664</v>
      </c>
      <c r="F23" s="16">
        <f>'cost (old)'!F22*cost!F$3</f>
        <v>1.4592823680825897</v>
      </c>
      <c r="G23" s="16">
        <f>'cost (old)'!G22*cost!G$3</f>
        <v>1.2080361673272142</v>
      </c>
      <c r="H23" s="16">
        <f>'cost (old)'!H22*cost!H$3</f>
        <v>1.4219235397766199</v>
      </c>
      <c r="I23" s="16">
        <f>'cost (old)'!I22*cost!I$3</f>
        <v>0.9673915550262463</v>
      </c>
      <c r="J23" s="16"/>
      <c r="K23" s="16">
        <f>'cost (old)'!K22*cost!K$3</f>
        <v>1.1072092968808032</v>
      </c>
      <c r="L23" s="16">
        <f>'cost (old)'!L22*cost!L$3</f>
        <v>0.7849140279625284</v>
      </c>
      <c r="M23" s="16">
        <f>'cost (old)'!M22*cost!M$3</f>
        <v>1.3130344439199395</v>
      </c>
      <c r="N23" s="16">
        <f>'cost (old)'!N22*cost!N$3</f>
        <v>1.2428737972403014</v>
      </c>
      <c r="O23" s="16">
        <f>'cost (old)'!O22*cost!O$3</f>
        <v>1.4434466820516614</v>
      </c>
      <c r="P23" s="16"/>
      <c r="Q23" s="16">
        <f>'cost (old)'!Q22*cost!Q$3</f>
        <v>1.06673487970811</v>
      </c>
      <c r="R23" s="16">
        <f>'cost (old)'!R22*cost!R$3</f>
        <v>0.85972005740147162</v>
      </c>
      <c r="S23" s="16">
        <f>'cost (old)'!S22*cost!S$3</f>
        <v>0.89394993026537539</v>
      </c>
    </row>
    <row r="24" spans="1:19" x14ac:dyDescent="0.2">
      <c r="A24" s="108">
        <v>19</v>
      </c>
      <c r="B24" s="2" t="s">
        <v>578</v>
      </c>
      <c r="C24" s="16">
        <f>'cost (old)'!C23*cost!C$3</f>
        <v>0.61042342666493532</v>
      </c>
      <c r="D24" s="16">
        <f>'cost (old)'!D23*cost!D$3</f>
        <v>0.57888291662602487</v>
      </c>
      <c r="E24" s="16">
        <f>'cost (old)'!E23*cost!E$3</f>
        <v>0.56545834091887914</v>
      </c>
      <c r="F24" s="16">
        <f>'cost (old)'!F23*cost!F$3</f>
        <v>0.65291494075467127</v>
      </c>
      <c r="G24" s="16">
        <f>'cost (old)'!G23*cost!G$3</f>
        <v>0.59574830603882978</v>
      </c>
      <c r="H24" s="16">
        <f>'cost (old)'!H23*cost!H$3</f>
        <v>0.58788203741475153</v>
      </c>
      <c r="I24" s="16">
        <f>'cost (old)'!I23*cost!I$3</f>
        <v>0.6477301152651076</v>
      </c>
      <c r="J24" s="16"/>
      <c r="K24" s="16">
        <f>'cost (old)'!K23*cost!K$3</f>
        <v>0.68912556586349838</v>
      </c>
      <c r="L24" s="16">
        <f>'cost (old)'!L23*cost!L$3</f>
        <v>0.71087993425301843</v>
      </c>
      <c r="M24" s="16">
        <f>'cost (old)'!M23*cost!M$3</f>
        <v>0.70184013074523777</v>
      </c>
      <c r="N24" s="16">
        <f>'cost (old)'!N23*cost!N$3</f>
        <v>0.68574741765600011</v>
      </c>
      <c r="O24" s="16">
        <f>'cost (old)'!O23*cost!O$3</f>
        <v>0.63963166543979533</v>
      </c>
      <c r="P24" s="16"/>
      <c r="Q24" s="16">
        <f>'cost (old)'!Q23*cost!Q$3</f>
        <v>0.66097686463507688</v>
      </c>
      <c r="R24" s="16">
        <f>'cost (old)'!R23*cost!R$3</f>
        <v>0.68598850031880998</v>
      </c>
      <c r="S24" s="16">
        <f>'cost (old)'!S23*cost!S$3</f>
        <v>0.58167852854690727</v>
      </c>
    </row>
    <row r="25" spans="1:19" x14ac:dyDescent="0.2">
      <c r="A25" s="108">
        <v>20</v>
      </c>
      <c r="B25" s="3" t="s">
        <v>447</v>
      </c>
      <c r="C25" s="16">
        <f>'cost (old)'!C24*cost!C$3</f>
        <v>0.62788640113018612</v>
      </c>
      <c r="D25" s="16">
        <f>'cost (old)'!D24*cost!D$3</f>
        <v>0.669490786927601</v>
      </c>
      <c r="E25" s="16">
        <f>'cost (old)'!E24*cost!E$3</f>
        <v>0.74747267444092591</v>
      </c>
      <c r="F25" s="16">
        <f>'cost (old)'!F24*cost!F$3</f>
        <v>0.76374617650381826</v>
      </c>
      <c r="G25" s="16">
        <f>'cost (old)'!G24*cost!G$3</f>
        <v>0.87307313177863899</v>
      </c>
      <c r="H25" s="16">
        <f>'cost (old)'!H24*cost!H$3</f>
        <v>0.74127070390590544</v>
      </c>
      <c r="I25" s="16">
        <f>'cost (old)'!I24*cost!I$3</f>
        <v>0.89650692457412806</v>
      </c>
      <c r="J25" s="16"/>
      <c r="K25" s="16">
        <f>'cost (old)'!K24*cost!K$3</f>
        <v>0.91712446788229218</v>
      </c>
      <c r="L25" s="16">
        <f>'cost (old)'!L24*cost!L$3</f>
        <v>1.1790108918935713</v>
      </c>
      <c r="M25" s="16">
        <f>'cost (old)'!M24*cost!M$3</f>
        <v>1.2076271504461886</v>
      </c>
      <c r="N25" s="16">
        <f>'cost (old)'!N24*cost!N$3</f>
        <v>0.8607005771610482</v>
      </c>
      <c r="O25" s="16">
        <f>'cost (old)'!O24*cost!O$3</f>
        <v>0.87748893339132561</v>
      </c>
      <c r="P25" s="16"/>
      <c r="Q25" s="16">
        <f>'cost (old)'!Q24*cost!Q$3</f>
        <v>0.86904097486593124</v>
      </c>
      <c r="R25" s="16">
        <f>'cost (old)'!R24*cost!R$3</f>
        <v>0.87004903287460145</v>
      </c>
      <c r="S25" s="16">
        <f>'cost (old)'!S24*cost!S$3</f>
        <v>1.1121684497782485</v>
      </c>
    </row>
    <row r="26" spans="1:19" x14ac:dyDescent="0.2">
      <c r="A26" s="108">
        <v>21</v>
      </c>
      <c r="B26" s="2" t="s">
        <v>579</v>
      </c>
      <c r="C26" s="16">
        <f>'cost (old)'!C25*cost!C$3</f>
        <v>0.25591266832511617</v>
      </c>
      <c r="D26" s="16">
        <f>'cost (old)'!D25*cost!D$3</f>
        <v>0.29908245605285744</v>
      </c>
      <c r="E26" s="16">
        <f>'cost (old)'!E25*cost!E$3</f>
        <v>0.27484009838929341</v>
      </c>
      <c r="F26" s="16">
        <f>'cost (old)'!F25*cost!F$3</f>
        <v>0.30449040907583513</v>
      </c>
      <c r="G26" s="16">
        <f>'cost (old)'!G25*cost!G$3</f>
        <v>0.2897295580155429</v>
      </c>
      <c r="H26" s="16">
        <f>'cost (old)'!H25*cost!H$3</f>
        <v>0.3513250934843557</v>
      </c>
      <c r="I26" s="16">
        <f>'cost (old)'!I25*cost!I$3</f>
        <v>0.28008889535304182</v>
      </c>
      <c r="J26" s="16"/>
      <c r="K26" s="16">
        <f>'cost (old)'!K25*cost!K$3</f>
        <v>0.28784404808992115</v>
      </c>
      <c r="L26" s="16">
        <f>'cost (old)'!L25*cost!L$3</f>
        <v>0.29721520123953232</v>
      </c>
      <c r="M26" s="16">
        <f>'cost (old)'!M25*cost!M$3</f>
        <v>0.27779167687206407</v>
      </c>
      <c r="N26" s="16">
        <f>'cost (old)'!N25*cost!N$3</f>
        <v>0.27307416260949458</v>
      </c>
      <c r="O26" s="16">
        <f>'cost (old)'!O25*cost!O$3</f>
        <v>0.27781557828453884</v>
      </c>
      <c r="P26" s="16"/>
      <c r="Q26" s="16">
        <f>'cost (old)'!Q25*cost!Q$3</f>
        <v>0.3091085615244773</v>
      </c>
      <c r="R26" s="16">
        <f>'cost (old)'!R25*cost!R$3</f>
        <v>0.31315367491932833</v>
      </c>
      <c r="S26" s="16">
        <f>'cost (old)'!S25*cost!S$3</f>
        <v>0.26387434170091961</v>
      </c>
    </row>
    <row r="27" spans="1:19" x14ac:dyDescent="0.2">
      <c r="A27" s="108">
        <v>22</v>
      </c>
      <c r="B27" s="2" t="s">
        <v>580</v>
      </c>
      <c r="C27" s="16">
        <f>'cost (old)'!C26*cost!C$3</f>
        <v>0.47591919021304963</v>
      </c>
      <c r="D27" s="16">
        <f>'cost (old)'!D26*cost!D$3</f>
        <v>0.54231476728187655</v>
      </c>
      <c r="E27" s="16">
        <f>'cost (old)'!E26*cost!E$3</f>
        <v>0.49707689636698099</v>
      </c>
      <c r="F27" s="16">
        <f>'cost (old)'!F26*cost!F$3</f>
        <v>0.62391283417268806</v>
      </c>
      <c r="G27" s="16">
        <f>'cost (old)'!G26*cost!G$3</f>
        <v>0.67330426944129651</v>
      </c>
      <c r="H27" s="16">
        <f>'cost (old)'!H26*cost!H$3</f>
        <v>0.62303402712852374</v>
      </c>
      <c r="I27" s="16">
        <f>'cost (old)'!I26*cost!I$3</f>
        <v>0.66250538230777523</v>
      </c>
      <c r="J27" s="16"/>
      <c r="K27" s="16">
        <f>'cost (old)'!K26*cost!K$3</f>
        <v>0.70399230478571029</v>
      </c>
      <c r="L27" s="16">
        <f>'cost (old)'!L26*cost!L$3</f>
        <v>0.63048685558190798</v>
      </c>
      <c r="M27" s="16">
        <f>'cost (old)'!M26*cost!M$3</f>
        <v>0.6855820146912559</v>
      </c>
      <c r="N27" s="16">
        <f>'cost (old)'!N26*cost!N$3</f>
        <v>0.62833406082212606</v>
      </c>
      <c r="O27" s="16">
        <f>'cost (old)'!O26*cost!O$3</f>
        <v>0.62274440247486462</v>
      </c>
      <c r="P27" s="16"/>
      <c r="Q27" s="16">
        <f>'cost (old)'!Q26*cost!Q$3</f>
        <v>0.67223979143063117</v>
      </c>
      <c r="R27" s="16">
        <f>'cost (old)'!R26*cost!R$3</f>
        <v>0.54896627146664745</v>
      </c>
      <c r="S27" s="16">
        <f>'cost (old)'!S26*cost!S$3</f>
        <v>0.49939531891525663</v>
      </c>
    </row>
    <row r="28" spans="1:19" x14ac:dyDescent="0.2">
      <c r="A28" s="108">
        <v>23</v>
      </c>
      <c r="B28" s="3" t="s">
        <v>178</v>
      </c>
      <c r="C28" s="16">
        <f>'cost (old)'!C27*cost!C$3</f>
        <v>4.2583610228118296</v>
      </c>
      <c r="D28" s="16">
        <f>'cost (old)'!D27*cost!D$3</f>
        <v>5.2079916562791508</v>
      </c>
      <c r="E28" s="16">
        <f>'cost (old)'!E27*cost!E$3</f>
        <v>4.0007588209652338</v>
      </c>
      <c r="F28" s="16">
        <f>'cost (old)'!F27*cost!F$3</f>
        <v>4.8779747213380622</v>
      </c>
      <c r="G28" s="16">
        <f>'cost (old)'!G27*cost!G$3</f>
        <v>3.0174003020432125</v>
      </c>
      <c r="H28" s="16">
        <f>'cost (old)'!H27*cost!H$3</f>
        <v>2.6854380860110405</v>
      </c>
      <c r="I28" s="16">
        <f>'cost (old)'!I27*cost!I$3</f>
        <v>2.0950764804901727</v>
      </c>
      <c r="J28" s="16"/>
      <c r="K28" s="16">
        <f>'cost (old)'!K27*cost!K$3</f>
        <v>4.8437802991728844</v>
      </c>
      <c r="L28" s="16">
        <f>'cost (old)'!L27*cost!L$3</f>
        <v>4.220403362750238</v>
      </c>
      <c r="M28" s="16">
        <f>'cost (old)'!M27*cost!M$3</f>
        <v>2.987484292105179</v>
      </c>
      <c r="N28" s="16">
        <f>'cost (old)'!N27*cost!N$3</f>
        <v>3.8614198426124653</v>
      </c>
      <c r="O28" s="16">
        <f>'cost (old)'!O27*cost!O$3</f>
        <v>3.4008649331070919</v>
      </c>
      <c r="P28" s="16"/>
      <c r="Q28" s="16">
        <f>'cost (old)'!Q27*cost!Q$3</f>
        <v>3.8938892431905625</v>
      </c>
      <c r="R28" s="16">
        <f>'cost (old)'!R27*cost!R$3</f>
        <v>2.2588230323879372</v>
      </c>
      <c r="S28" s="16">
        <f>'cost (old)'!S27*cost!S$3</f>
        <v>1.8698108729697669</v>
      </c>
    </row>
    <row r="29" spans="1:19" x14ac:dyDescent="0.2">
      <c r="A29" s="108">
        <v>24</v>
      </c>
      <c r="B29" s="2" t="s">
        <v>581</v>
      </c>
      <c r="C29" s="16">
        <f>'cost (old)'!C28*cost!C$3</f>
        <v>0.19571656151999797</v>
      </c>
      <c r="D29" s="16">
        <f>'cost (old)'!D28*cost!D$3</f>
        <v>0.18793765752305572</v>
      </c>
      <c r="E29" s="16">
        <f>'cost (old)'!E28*cost!E$3</f>
        <v>0.15452063077720091</v>
      </c>
      <c r="F29" s="16">
        <f>'cost (old)'!F28*cost!F$3</f>
        <v>0.17295226933713223</v>
      </c>
      <c r="G29" s="16">
        <f>'cost (old)'!G28*cost!G$3</f>
        <v>0.17199573570469331</v>
      </c>
      <c r="H29" s="16">
        <f>'cost (old)'!H28*cost!H$3</f>
        <v>0.24385988360625954</v>
      </c>
      <c r="I29" s="16">
        <f>'cost (old)'!I28*cost!I$3</f>
        <v>0.20618155486932133</v>
      </c>
      <c r="J29" s="16"/>
      <c r="K29" s="16">
        <f>'cost (old)'!K28*cost!K$3</f>
        <v>0.26496546496640461</v>
      </c>
      <c r="L29" s="16">
        <f>'cost (old)'!L28*cost!L$3</f>
        <v>0.17056599683751703</v>
      </c>
      <c r="M29" s="16">
        <f>'cost (old)'!M28*cost!M$3</f>
        <v>0.48490765704743743</v>
      </c>
      <c r="N29" s="16">
        <f>'cost (old)'!N28*cost!N$3</f>
        <v>0.19426553562800383</v>
      </c>
      <c r="O29" s="16">
        <f>'cost (old)'!O28*cost!O$3</f>
        <v>0.27788101681923333</v>
      </c>
      <c r="P29" s="16"/>
      <c r="Q29" s="16">
        <f>'cost (old)'!Q28*cost!Q$3</f>
        <v>0.22059958901455978</v>
      </c>
      <c r="R29" s="16">
        <f>'cost (old)'!R28*cost!R$3</f>
        <v>0.24991614483263702</v>
      </c>
      <c r="S29" s="16">
        <f>'cost (old)'!S28*cost!S$3</f>
        <v>0.16510326341871373</v>
      </c>
    </row>
    <row r="30" spans="1:19" x14ac:dyDescent="0.2">
      <c r="A30" s="108">
        <v>25</v>
      </c>
      <c r="B30" s="2" t="s">
        <v>15</v>
      </c>
      <c r="C30" s="16">
        <f>'cost (old)'!C29*cost!C$3</f>
        <v>0.48846771904038994</v>
      </c>
      <c r="D30" s="16">
        <f>'cost (old)'!D29*cost!D$3</f>
        <v>0.54095813545591653</v>
      </c>
      <c r="E30" s="16">
        <f>'cost (old)'!E29*cost!E$3</f>
        <v>0.57108761930098229</v>
      </c>
      <c r="F30" s="16">
        <f>'cost (old)'!F29*cost!F$3</f>
        <v>0.63645890301083352</v>
      </c>
      <c r="G30" s="16">
        <f>'cost (old)'!G29*cost!G$3</f>
        <v>0.549415110806177</v>
      </c>
      <c r="H30" s="16">
        <f>'cost (old)'!H29*cost!H$3</f>
        <v>0.61932123367932379</v>
      </c>
      <c r="I30" s="16">
        <f>'cost (old)'!I29*cost!I$3</f>
        <v>0.56469793537662316</v>
      </c>
      <c r="J30" s="16"/>
      <c r="K30" s="16">
        <f>'cost (old)'!K29*cost!K$3</f>
        <v>0.9809487079567013</v>
      </c>
      <c r="L30" s="16">
        <f>'cost (old)'!L29*cost!L$3</f>
        <v>0.66925202096438963</v>
      </c>
      <c r="M30" s="16">
        <f>'cost (old)'!M29*cost!M$3</f>
        <v>0.76735798226913732</v>
      </c>
      <c r="N30" s="16">
        <f>'cost (old)'!N29*cost!N$3</f>
        <v>0.59833553273306217</v>
      </c>
      <c r="O30" s="16">
        <f>'cost (old)'!O29*cost!O$3</f>
        <v>0.69790436907349318</v>
      </c>
      <c r="P30" s="16"/>
      <c r="Q30" s="16">
        <f>'cost (old)'!Q29*cost!Q$3</f>
        <v>0.91161411738690312</v>
      </c>
      <c r="R30" s="16">
        <f>'cost (old)'!R29*cost!R$3</f>
        <v>0.60271886815288134</v>
      </c>
      <c r="S30" s="16">
        <f>'cost (old)'!S29*cost!S$3</f>
        <v>0.60272996978844007</v>
      </c>
    </row>
    <row r="31" spans="1:19" x14ac:dyDescent="0.2">
      <c r="A31" s="108">
        <v>26</v>
      </c>
      <c r="B31" s="3" t="s">
        <v>406</v>
      </c>
      <c r="C31" s="16">
        <f>'cost (old)'!C30*cost!C$3</f>
        <v>0.29147692195168873</v>
      </c>
      <c r="D31" s="16">
        <f>'cost (old)'!D30*cost!D$3</f>
        <v>0.30547799680526333</v>
      </c>
      <c r="E31" s="16">
        <f>'cost (old)'!E30*cost!E$3</f>
        <v>0.30898182089571474</v>
      </c>
      <c r="F31" s="16">
        <f>'cost (old)'!F30*cost!F$3</f>
        <v>0.33283332458547837</v>
      </c>
      <c r="G31" s="16">
        <f>'cost (old)'!G30*cost!G$3</f>
        <v>0.30380743236292357</v>
      </c>
      <c r="H31" s="16">
        <f>'cost (old)'!H30*cost!H$3</f>
        <v>0.30326403128987856</v>
      </c>
      <c r="I31" s="16">
        <f>'cost (old)'!I30*cost!I$3</f>
        <v>0.30456280658448193</v>
      </c>
      <c r="J31" s="16"/>
      <c r="K31" s="16">
        <f>'cost (old)'!K30*cost!K$3</f>
        <v>0.328031304223938</v>
      </c>
      <c r="L31" s="16">
        <f>'cost (old)'!L30*cost!L$3</f>
        <v>0.31540299233066477</v>
      </c>
      <c r="M31" s="16">
        <f>'cost (old)'!M30*cost!M$3</f>
        <v>0.37785075664696754</v>
      </c>
      <c r="N31" s="16">
        <f>'cost (old)'!N30*cost!N$3</f>
        <v>0.33102594707622573</v>
      </c>
      <c r="O31" s="16">
        <f>'cost (old)'!O30*cost!O$3</f>
        <v>0.30165122557727453</v>
      </c>
      <c r="P31" s="16"/>
      <c r="Q31" s="16">
        <f>'cost (old)'!Q30*cost!Q$3</f>
        <v>0.21276917672853141</v>
      </c>
      <c r="R31" s="16">
        <f>'cost (old)'!R30*cost!R$3</f>
        <v>0.43025057032163044</v>
      </c>
      <c r="S31" s="16">
        <f>'cost (old)'!S30*cost!S$3</f>
        <v>0.31650594687899436</v>
      </c>
    </row>
    <row r="32" spans="1:19" x14ac:dyDescent="0.2">
      <c r="A32" s="108">
        <v>27</v>
      </c>
      <c r="B32" s="3" t="s">
        <v>407</v>
      </c>
      <c r="C32" s="16">
        <f>'cost (old)'!C31*cost!C$3</f>
        <v>0.2849772459861088</v>
      </c>
      <c r="D32" s="16">
        <f>'cost (old)'!D31*cost!D$3</f>
        <v>0.36685728043471844</v>
      </c>
      <c r="E32" s="16">
        <f>'cost (old)'!E31*cost!E$3</f>
        <v>0.29245427855062683</v>
      </c>
      <c r="F32" s="16">
        <f>'cost (old)'!F31*cost!F$3</f>
        <v>0.32156887470528489</v>
      </c>
      <c r="G32" s="16">
        <f>'cost (old)'!G31*cost!G$3</f>
        <v>0.34791887876621896</v>
      </c>
      <c r="H32" s="16">
        <f>'cost (old)'!H31*cost!H$3</f>
        <v>0.26028120944225669</v>
      </c>
      <c r="I32" s="16">
        <f>'cost (old)'!I31*cost!I$3</f>
        <v>0.29056590319862979</v>
      </c>
      <c r="J32" s="16"/>
      <c r="K32" s="16">
        <f>'cost (old)'!K31*cost!K$3</f>
        <v>0.30270651304189827</v>
      </c>
      <c r="L32" s="16">
        <f>'cost (old)'!L31*cost!L$3</f>
        <v>0.32001064152677894</v>
      </c>
      <c r="M32" s="16">
        <f>'cost (old)'!M31*cost!M$3</f>
        <v>0.34264845220615786</v>
      </c>
      <c r="N32" s="16">
        <f>'cost (old)'!N31*cost!N$3</f>
        <v>0.29368779295344283</v>
      </c>
      <c r="O32" s="16">
        <f>'cost (old)'!O31*cost!O$3</f>
        <v>0.31116994373112439</v>
      </c>
      <c r="P32" s="16"/>
      <c r="Q32" s="16">
        <f>'cost (old)'!Q31*cost!Q$3</f>
        <v>0.29044584735355966</v>
      </c>
      <c r="R32" s="16">
        <f>'cost (old)'!R31*cost!R$3</f>
        <v>0.34835656490870986</v>
      </c>
      <c r="S32" s="16">
        <f>'cost (old)'!S31*cost!S$3</f>
        <v>0.33362437428160285</v>
      </c>
    </row>
    <row r="33" spans="1:19" x14ac:dyDescent="0.2">
      <c r="A33" s="108">
        <v>28</v>
      </c>
      <c r="B33" s="3" t="s">
        <v>619</v>
      </c>
      <c r="C33" s="16">
        <f>'cost (old)'!C32*cost!C$3</f>
        <v>0.47398577569871747</v>
      </c>
      <c r="D33" s="16">
        <f>'cost (old)'!D32*cost!D$3</f>
        <v>0.60824371303592761</v>
      </c>
      <c r="E33" s="16">
        <f>'cost (old)'!E32*cost!E$3</f>
        <v>0.51032767113843858</v>
      </c>
      <c r="F33" s="16">
        <f>'cost (old)'!F32*cost!F$3</f>
        <v>0.63887582641329133</v>
      </c>
      <c r="G33" s="16">
        <f>'cost (old)'!G32*cost!G$3</f>
        <v>0.5906088574050149</v>
      </c>
      <c r="H33" s="16">
        <f>'cost (old)'!H32*cost!H$3</f>
        <v>0.69696912974919589</v>
      </c>
      <c r="I33" s="16">
        <f>'cost (old)'!I32*cost!I$3</f>
        <v>0.69855309816001909</v>
      </c>
      <c r="J33" s="16"/>
      <c r="K33" s="16">
        <f>'cost (old)'!K32*cost!K$3</f>
        <v>0.4267577665600979</v>
      </c>
      <c r="L33" s="16">
        <f>'cost (old)'!L32*cost!L$3</f>
        <v>0.36773547617036528</v>
      </c>
      <c r="M33" s="16">
        <f>'cost (old)'!M32*cost!M$3</f>
        <v>0.22848630271527387</v>
      </c>
      <c r="N33" s="16">
        <f>'cost (old)'!N32*cost!N$3</f>
        <v>0.72205135851101232</v>
      </c>
      <c r="O33" s="16">
        <f>'cost (old)'!O32*cost!O$3</f>
        <v>0.54821234266550878</v>
      </c>
      <c r="P33" s="16"/>
      <c r="Q33" s="16">
        <f>'cost (old)'!Q32*cost!Q$3</f>
        <v>0.51411841642020994</v>
      </c>
      <c r="R33" s="16">
        <f>'cost (old)'!R32*cost!R$3</f>
        <v>0.29195310930372637</v>
      </c>
      <c r="S33" s="16">
        <f>'cost (old)'!S32*cost!S$3</f>
        <v>0.29207039087232001</v>
      </c>
    </row>
    <row r="34" spans="1:19" x14ac:dyDescent="0.2">
      <c r="A34" s="108">
        <v>29</v>
      </c>
      <c r="B34" s="3" t="s">
        <v>62</v>
      </c>
      <c r="C34" s="16">
        <f>'cost (old)'!C33*cost!C$3</f>
        <v>0.67984620479150148</v>
      </c>
      <c r="D34" s="16">
        <f>'cost (old)'!D33*cost!D$3</f>
        <v>0.6418134024782316</v>
      </c>
      <c r="E34" s="16">
        <f>'cost (old)'!E33*cost!E$3</f>
        <v>0.49366113531789163</v>
      </c>
      <c r="F34" s="16">
        <f>'cost (old)'!F33*cost!F$3</f>
        <v>0.51012884634589117</v>
      </c>
      <c r="G34" s="16">
        <f>'cost (old)'!G33*cost!G$3</f>
        <v>0.25540396299570955</v>
      </c>
      <c r="H34" s="16">
        <f>'cost (old)'!H33*cost!H$3</f>
        <v>0.14193320294019493</v>
      </c>
      <c r="I34" s="16">
        <f>'cost (old)'!I33*cost!I$3</f>
        <v>0.90495310698043385</v>
      </c>
      <c r="J34" s="16"/>
      <c r="K34" s="16">
        <f>'cost (old)'!K33*cost!K$3</f>
        <v>0.27890383445876743</v>
      </c>
      <c r="L34" s="16">
        <f>'cost (old)'!L33*cost!L$3</f>
        <v>0.41701105608471639</v>
      </c>
      <c r="M34" s="16">
        <f>'cost (old)'!M33*cost!M$3</f>
        <v>0.30507626128695475</v>
      </c>
      <c r="N34" s="16">
        <f>'cost (old)'!N33*cost!N$3</f>
        <v>0.62309051814954453</v>
      </c>
      <c r="O34" s="16">
        <f>'cost (old)'!O33*cost!O$3</f>
        <v>0.53561029624315082</v>
      </c>
      <c r="P34" s="16"/>
      <c r="Q34" s="16">
        <f>'cost (old)'!Q33*cost!Q$3</f>
        <v>0.89363038831255781</v>
      </c>
      <c r="R34" s="16">
        <f>'cost (old)'!R33*cost!R$3</f>
        <v>0.29212089784066292</v>
      </c>
      <c r="S34" s="16">
        <f>'cost (old)'!S33*cost!S$3</f>
        <v>0.2192769042366233</v>
      </c>
    </row>
    <row r="35" spans="1:19" x14ac:dyDescent="0.2">
      <c r="A35" s="108">
        <v>30</v>
      </c>
      <c r="B35" s="3" t="s">
        <v>181</v>
      </c>
      <c r="C35" s="16">
        <f>'cost (old)'!C34*cost!C$3</f>
        <v>0.2354623257717921</v>
      </c>
      <c r="D35" s="16">
        <f>'cost (old)'!D34*cost!D$3</f>
        <v>0.58389873081171839</v>
      </c>
      <c r="E35" s="16">
        <f>'cost (old)'!E34*cost!E$3</f>
        <v>0.58231840372833465</v>
      </c>
      <c r="F35" s="16">
        <f>'cost (old)'!F34*cost!F$3</f>
        <v>0.31901418530025277</v>
      </c>
      <c r="G35" s="16">
        <f>'cost (old)'!G34*cost!G$3</f>
        <v>0.5930282867377128</v>
      </c>
      <c r="H35" s="16">
        <f>'cost (old)'!H34*cost!H$3</f>
        <v>0.78270049238363881</v>
      </c>
      <c r="I35" s="16">
        <f>'cost (old)'!I34*cost!I$3</f>
        <v>0.71500358286652232</v>
      </c>
      <c r="J35" s="16"/>
      <c r="K35" s="16">
        <f>'cost (old)'!K34*cost!K$3</f>
        <v>0.58616138296132092</v>
      </c>
      <c r="L35" s="16">
        <f>'cost (old)'!L34*cost!L$3</f>
        <v>0.48854523390175869</v>
      </c>
      <c r="M35" s="16">
        <f>'cost (old)'!M34*cost!M$3</f>
        <v>0.51796736792787446</v>
      </c>
      <c r="N35" s="16">
        <f>'cost (old)'!N34*cost!N$3</f>
        <v>0.6759996117843593</v>
      </c>
      <c r="O35" s="16">
        <f>'cost (old)'!O34*cost!O$3</f>
        <v>0.32961993605187273</v>
      </c>
      <c r="P35" s="16"/>
      <c r="Q35" s="16">
        <f>'cost (old)'!Q34*cost!Q$3</f>
        <v>0.33643237768170842</v>
      </c>
      <c r="R35" s="16">
        <f>'cost (old)'!R34*cost!R$3</f>
        <v>0.39203950334793569</v>
      </c>
      <c r="S35" s="16">
        <f>'cost (old)'!S34*cost!S$3</f>
        <v>0.50187494161291768</v>
      </c>
    </row>
    <row r="36" spans="1:19" x14ac:dyDescent="0.2">
      <c r="A36" s="108">
        <v>31</v>
      </c>
      <c r="B36" s="3" t="s">
        <v>566</v>
      </c>
      <c r="C36" s="16">
        <f>'cost (old)'!C35*cost!C$3</f>
        <v>0.10415804967587655</v>
      </c>
      <c r="D36" s="16">
        <f>'cost (old)'!D35*cost!D$3</f>
        <v>0.1120922900127886</v>
      </c>
      <c r="E36" s="16">
        <f>'cost (old)'!E35*cost!E$3</f>
        <v>0.11041335154188589</v>
      </c>
      <c r="F36" s="16">
        <f>'cost (old)'!F35*cost!F$3</f>
        <v>0.11270135037962821</v>
      </c>
      <c r="G36" s="16">
        <f>'cost (old)'!G35*cost!G$3</f>
        <v>0.10732034340417639</v>
      </c>
      <c r="H36" s="16">
        <f>'cost (old)'!H35*cost!H$3</f>
        <v>0.11443141848978984</v>
      </c>
      <c r="I36" s="16">
        <f>'cost (old)'!I35*cost!I$3</f>
        <v>0.11492148880452129</v>
      </c>
      <c r="J36" s="16"/>
      <c r="K36" s="16">
        <f>'cost (old)'!K35*cost!K$3</f>
        <v>0.11283269922063868</v>
      </c>
      <c r="L36" s="16">
        <f>'cost (old)'!L35*cost!L$3</f>
        <v>0.11390473249081169</v>
      </c>
      <c r="M36" s="16">
        <f>'cost (old)'!M35*cost!M$3</f>
        <v>0.11476983172491911</v>
      </c>
      <c r="N36" s="16">
        <f>'cost (old)'!N35*cost!N$3</f>
        <v>0.24081955121948825</v>
      </c>
      <c r="O36" s="16">
        <f>'cost (old)'!O35*cost!O$3</f>
        <v>0.23650820375520074</v>
      </c>
      <c r="P36" s="16"/>
      <c r="Q36" s="16">
        <f>'cost (old)'!Q35*cost!Q$3</f>
        <v>0.11036930951893342</v>
      </c>
      <c r="R36" s="16">
        <f>'cost (old)'!R35*cost!R$3</f>
        <v>0.11287849973490627</v>
      </c>
      <c r="S36" s="16">
        <f>'cost (old)'!S35*cost!S$3</f>
        <v>0.10816412850956411</v>
      </c>
    </row>
    <row r="37" spans="1:19" x14ac:dyDescent="0.2">
      <c r="A37" s="108">
        <v>32</v>
      </c>
      <c r="B37" s="3" t="s">
        <v>567</v>
      </c>
      <c r="C37" s="16">
        <f>'cost (old)'!C36*cost!C$3</f>
        <v>6.7865558854627916E-2</v>
      </c>
      <c r="D37" s="16">
        <f>'cost (old)'!D36*cost!D$3</f>
        <v>0.1342582338322027</v>
      </c>
      <c r="E37" s="16">
        <f>'cost (old)'!E36*cost!E$3</f>
        <v>7.5649609874063425E-2</v>
      </c>
      <c r="F37" s="16">
        <f>'cost (old)'!F36*cost!F$3</f>
        <v>6.333487399721055E-2</v>
      </c>
      <c r="G37" s="16">
        <f>'cost (old)'!G36*cost!G$3</f>
        <v>6.8368188236522867E-2</v>
      </c>
      <c r="H37" s="16">
        <f>'cost (old)'!H36*cost!H$3</f>
        <v>6.0078314909508261E-2</v>
      </c>
      <c r="I37" s="16">
        <f>'cost (old)'!I36*cost!I$3</f>
        <v>6.4350410570628597E-2</v>
      </c>
      <c r="J37" s="16"/>
      <c r="K37" s="16">
        <f>'cost (old)'!K36*cost!K$3</f>
        <v>7.8993531624259095E-2</v>
      </c>
      <c r="L37" s="16">
        <f>'cost (old)'!L36*cost!L$3</f>
        <v>7.4298733244868867E-2</v>
      </c>
      <c r="M37" s="16">
        <f>'cost (old)'!M36*cost!M$3</f>
        <v>8.1792848524531753E-2</v>
      </c>
      <c r="N37" s="16">
        <f>'cost (old)'!N36*cost!N$3</f>
        <v>7.1606969862168676E-2</v>
      </c>
      <c r="O37" s="16">
        <f>'cost (old)'!O36*cost!O$3</f>
        <v>0.20918502634508787</v>
      </c>
      <c r="P37" s="16"/>
      <c r="Q37" s="16">
        <f>'cost (old)'!Q36*cost!Q$3</f>
        <v>0.13961924712687626</v>
      </c>
      <c r="R37" s="16">
        <f>'cost (old)'!R36*cost!R$3</f>
        <v>7.8357751113742977E-2</v>
      </c>
      <c r="S37" s="16">
        <f>'cost (old)'!S36*cost!S$3</f>
        <v>5.8585191918975495E-2</v>
      </c>
    </row>
    <row r="38" spans="1:19" x14ac:dyDescent="0.2">
      <c r="A38" s="108">
        <v>33</v>
      </c>
      <c r="B38" s="3" t="s">
        <v>568</v>
      </c>
      <c r="C38" s="16">
        <f>'cost (old)'!C37*cost!C$3</f>
        <v>0.82184807468772303</v>
      </c>
      <c r="D38" s="16">
        <f>'cost (old)'!D37*cost!D$3</f>
        <v>0.89725763747594967</v>
      </c>
      <c r="E38" s="16">
        <f>'cost (old)'!E37*cost!E$3</f>
        <v>0.90621796859127934</v>
      </c>
      <c r="F38" s="16">
        <f>'cost (old)'!F37*cost!F$3</f>
        <v>1.0670418821154699</v>
      </c>
      <c r="G38" s="16">
        <f>'cost (old)'!G37*cost!G$3</f>
        <v>0.70094000664745759</v>
      </c>
      <c r="H38" s="16">
        <f>'cost (old)'!H37*cost!H$3</f>
        <v>0.88172363044793545</v>
      </c>
      <c r="I38" s="16">
        <f>'cost (old)'!I37*cost!I$3</f>
        <v>0.82972187300903077</v>
      </c>
      <c r="J38" s="16"/>
      <c r="K38" s="16">
        <f>'cost (old)'!K37*cost!K$3</f>
        <v>0.65259129525449566</v>
      </c>
      <c r="L38" s="16">
        <f>'cost (old)'!L37*cost!L$3</f>
        <v>1.1898003982471985</v>
      </c>
      <c r="M38" s="16">
        <f>'cost (old)'!M37*cost!M$3</f>
        <v>0.68802375364167778</v>
      </c>
      <c r="N38" s="16">
        <f>'cost (old)'!N37*cost!N$3</f>
        <v>1.0291560412006791</v>
      </c>
      <c r="O38" s="16">
        <f>'cost (old)'!O37*cost!O$3</f>
        <v>0.6693642158201879</v>
      </c>
      <c r="P38" s="16"/>
      <c r="Q38" s="16">
        <f>'cost (old)'!Q37*cost!Q$3</f>
        <v>0.83517298967493414</v>
      </c>
      <c r="R38" s="16">
        <f>'cost (old)'!R37*cost!R$3</f>
        <v>0.90122058035488883</v>
      </c>
      <c r="S38" s="16">
        <f>'cost (old)'!S37*cost!S$3</f>
        <v>0.89371620635491711</v>
      </c>
    </row>
    <row r="39" spans="1:19" x14ac:dyDescent="0.2">
      <c r="A39" s="108">
        <v>34</v>
      </c>
      <c r="B39" s="3" t="s">
        <v>630</v>
      </c>
      <c r="C39" s="16">
        <f>'cost (old)'!C38*cost!C$3</f>
        <v>0.41651283357980617</v>
      </c>
      <c r="D39" s="16">
        <f>'cost (old)'!D38*cost!D$3</f>
        <v>0.46412471865475291</v>
      </c>
      <c r="E39" s="16">
        <f>'cost (old)'!E38*cost!E$3</f>
        <v>0.49370927519290592</v>
      </c>
      <c r="F39" s="16">
        <f>'cost (old)'!F38*cost!F$3</f>
        <v>0.45892750000187033</v>
      </c>
      <c r="G39" s="16">
        <f>'cost (old)'!G38*cost!G$3</f>
        <v>0.44301271350427901</v>
      </c>
      <c r="H39" s="16">
        <f>'cost (old)'!H38*cost!H$3</f>
        <v>0.45847384871953445</v>
      </c>
      <c r="I39" s="16">
        <f>'cost (old)'!I38*cost!I$3</f>
        <v>0.42145623842679092</v>
      </c>
      <c r="J39" s="16"/>
      <c r="K39" s="16">
        <f>'cost (old)'!K38*cost!K$3</f>
        <v>0.48247542062999743</v>
      </c>
      <c r="L39" s="16">
        <f>'cost (old)'!L38*cost!L$3</f>
        <v>0.47885820690277275</v>
      </c>
      <c r="M39" s="16">
        <f>'cost (old)'!M38*cost!M$3</f>
        <v>0.40025884015542651</v>
      </c>
      <c r="N39" s="16">
        <f>'cost (old)'!N38*cost!N$3</f>
        <v>0.45451303425161144</v>
      </c>
      <c r="O39" s="16">
        <f>'cost (old)'!O38*cost!O$3</f>
        <v>0.42508771857343614</v>
      </c>
      <c r="P39" s="16"/>
      <c r="Q39" s="16">
        <f>'cost (old)'!Q38*cost!Q$3</f>
        <v>0.420754822327425</v>
      </c>
      <c r="R39" s="16">
        <f>'cost (old)'!R38*cost!R$3</f>
        <v>0.52972020785272345</v>
      </c>
      <c r="S39" s="16">
        <f>'cost (old)'!S38*cost!S$3</f>
        <v>0.40340866735924219</v>
      </c>
    </row>
    <row r="40" spans="1:19" x14ac:dyDescent="0.2">
      <c r="A40" s="108">
        <v>35</v>
      </c>
      <c r="B40" s="3" t="s">
        <v>631</v>
      </c>
      <c r="C40" s="16">
        <f>'cost (old)'!C39*cost!C$3</f>
        <v>0.69898549228212681</v>
      </c>
      <c r="D40" s="16">
        <f>'cost (old)'!D39*cost!D$3</f>
        <v>0.76330999267679944</v>
      </c>
      <c r="E40" s="16">
        <f>'cost (old)'!E39*cost!E$3</f>
        <v>0.89377029104919681</v>
      </c>
      <c r="F40" s="16">
        <f>'cost (old)'!F39*cost!F$3</f>
        <v>0.74510209702885288</v>
      </c>
      <c r="G40" s="16">
        <f>'cost (old)'!G39*cost!G$3</f>
        <v>0.78764349159005076</v>
      </c>
      <c r="H40" s="16">
        <f>'cost (old)'!H39*cost!H$3</f>
        <v>0.85482160884545344</v>
      </c>
      <c r="I40" s="16">
        <f>'cost (old)'!I39*cost!I$3</f>
        <v>0.8297916555560485</v>
      </c>
      <c r="J40" s="16"/>
      <c r="K40" s="16">
        <f>'cost (old)'!K39*cost!K$3</f>
        <v>1.0098561213610104</v>
      </c>
      <c r="L40" s="16">
        <f>'cost (old)'!L39*cost!L$3</f>
        <v>0.75204900689492882</v>
      </c>
      <c r="M40" s="16">
        <f>'cost (old)'!M39*cost!M$3</f>
        <v>0.72454499467607769</v>
      </c>
      <c r="N40" s="16">
        <f>'cost (old)'!N39*cost!N$3</f>
        <v>0.81777828261535468</v>
      </c>
      <c r="O40" s="16">
        <f>'cost (old)'!O39*cost!O$3</f>
        <v>0.83219684442024533</v>
      </c>
      <c r="P40" s="16"/>
      <c r="Q40" s="16">
        <f>'cost (old)'!Q39*cost!Q$3</f>
        <v>0.82821243834241365</v>
      </c>
      <c r="R40" s="16">
        <f>'cost (old)'!R39*cost!R$3</f>
        <v>0.81323057301947999</v>
      </c>
      <c r="S40" s="16">
        <f>'cost (old)'!S39*cost!S$3</f>
        <v>0.65037215717956098</v>
      </c>
    </row>
    <row r="41" spans="1:19" x14ac:dyDescent="0.2">
      <c r="A41" s="108">
        <v>36</v>
      </c>
      <c r="B41" s="3" t="s">
        <v>348</v>
      </c>
      <c r="C41" s="16">
        <f>'cost (old)'!C40*cost!C$3</f>
        <v>0.75422135038100513</v>
      </c>
      <c r="D41" s="16">
        <f>'cost (old)'!D40*cost!D$3</f>
        <v>0.78729185877879337</v>
      </c>
      <c r="E41" s="16">
        <f>'cost (old)'!E40*cost!E$3</f>
        <v>0.77994174811224259</v>
      </c>
      <c r="F41" s="16">
        <f>'cost (old)'!F40*cost!F$3</f>
        <v>0.83804658792398834</v>
      </c>
      <c r="G41" s="16">
        <f>'cost (old)'!G40*cost!G$3</f>
        <v>0.76160187477188246</v>
      </c>
      <c r="H41" s="16">
        <f>'cost (old)'!H40*cost!H$3</f>
        <v>0.79087641356705274</v>
      </c>
      <c r="I41" s="16">
        <f>'cost (old)'!I40*cost!I$3</f>
        <v>0.81834693699516259</v>
      </c>
      <c r="J41" s="16"/>
      <c r="K41" s="16">
        <f>'cost (old)'!K40*cost!K$3</f>
        <v>0.66753084827719289</v>
      </c>
      <c r="L41" s="16">
        <f>'cost (old)'!L40*cost!L$3</f>
        <v>0.66275925546967696</v>
      </c>
      <c r="M41" s="16">
        <f>'cost (old)'!M40*cost!M$3</f>
        <v>0.78367472857141085</v>
      </c>
      <c r="N41" s="16">
        <f>'cost (old)'!N40*cost!N$3</f>
        <v>0.82485769396226205</v>
      </c>
      <c r="O41" s="16">
        <f>'cost (old)'!O40*cost!O$3</f>
        <v>0.7892905270728402</v>
      </c>
      <c r="P41" s="16"/>
      <c r="Q41" s="16">
        <f>'cost (old)'!Q40*cost!Q$3</f>
        <v>0.74231271899943641</v>
      </c>
      <c r="R41" s="16">
        <f>'cost (old)'!R40*cost!R$3</f>
        <v>0.78925345834055483</v>
      </c>
      <c r="S41" s="16">
        <f>'cost (old)'!S40*cost!S$3</f>
        <v>0.68219402443136068</v>
      </c>
    </row>
    <row r="42" spans="1:19" x14ac:dyDescent="0.2">
      <c r="A42" s="108">
        <v>37</v>
      </c>
      <c r="B42" s="2" t="s">
        <v>582</v>
      </c>
      <c r="C42" s="16">
        <f>'cost (old)'!C41*cost!C$3</f>
        <v>0.33633487309210397</v>
      </c>
      <c r="D42" s="16">
        <f>'cost (old)'!D41*cost!D$3</f>
        <v>0.41701182197791908</v>
      </c>
      <c r="E42" s="16">
        <f>'cost (old)'!E41*cost!E$3</f>
        <v>0.47568785020781607</v>
      </c>
      <c r="F42" s="16">
        <f>'cost (old)'!F41*cost!F$3</f>
        <v>0.46598584864274251</v>
      </c>
      <c r="G42" s="16">
        <f>'cost (old)'!G41*cost!G$3</f>
        <v>0.40974829827954717</v>
      </c>
      <c r="H42" s="16">
        <f>'cost (old)'!H41*cost!H$3</f>
        <v>0.47330101837045524</v>
      </c>
      <c r="I42" s="16">
        <f>'cost (old)'!I41*cost!I$3</f>
        <v>0.43897923921924759</v>
      </c>
      <c r="J42" s="16"/>
      <c r="K42" s="16">
        <f>'cost (old)'!K41*cost!K$3</f>
        <v>0.46879993383227081</v>
      </c>
      <c r="L42" s="16">
        <f>'cost (old)'!L41*cost!L$3</f>
        <v>0.46598110135923954</v>
      </c>
      <c r="M42" s="16">
        <f>'cost (old)'!M41*cost!M$3</f>
        <v>0.47808994554293033</v>
      </c>
      <c r="N42" s="16">
        <f>'cost (old)'!N41*cost!N$3</f>
        <v>0.35422105926757441</v>
      </c>
      <c r="O42" s="16">
        <f>'cost (old)'!O41*cost!O$3</f>
        <v>0.43806672523941653</v>
      </c>
      <c r="P42" s="16"/>
      <c r="Q42" s="16">
        <f>'cost (old)'!Q41*cost!Q$3</f>
        <v>0.44607635036182786</v>
      </c>
      <c r="R42" s="16">
        <f>'cost (old)'!R41*cost!R$3</f>
        <v>0.34504158554136616</v>
      </c>
      <c r="S42" s="16">
        <f>'cost (old)'!S41*cost!S$3</f>
        <v>0.29121423070867991</v>
      </c>
    </row>
    <row r="43" spans="1:19" x14ac:dyDescent="0.2">
      <c r="A43" s="108">
        <v>38</v>
      </c>
      <c r="B43" s="3" t="s">
        <v>349</v>
      </c>
      <c r="C43" s="16">
        <f>'cost (old)'!C42*cost!C$3</f>
        <v>1.6128089326321124</v>
      </c>
      <c r="D43" s="16">
        <f>'cost (old)'!D42*cost!D$3</f>
        <v>0.67194279877262009</v>
      </c>
      <c r="E43" s="16">
        <f>'cost (old)'!E42*cost!E$3</f>
        <v>1.548128254896501</v>
      </c>
      <c r="F43" s="16">
        <f>'cost (old)'!F42*cost!F$3</f>
        <v>0.11406694530576823</v>
      </c>
      <c r="G43" s="16">
        <f>'cost (old)'!G42*cost!G$3</f>
        <v>0.13840948858282889</v>
      </c>
      <c r="H43" s="16">
        <f>'cost (old)'!H42*cost!H$3</f>
        <v>0.1457280813997987</v>
      </c>
      <c r="I43" s="16">
        <f>'cost (old)'!I42*cost!I$3</f>
        <v>0.12693469850236266</v>
      </c>
      <c r="J43" s="16"/>
      <c r="K43" s="16">
        <f>'cost (old)'!K42*cost!K$3</f>
        <v>0.15360210105757002</v>
      </c>
      <c r="L43" s="16">
        <f>'cost (old)'!L42*cost!L$3</f>
        <v>0.23091559141049448</v>
      </c>
      <c r="M43" s="16">
        <f>'cost (old)'!M42*cost!M$3</f>
        <v>0.19021776758085623</v>
      </c>
      <c r="N43" s="16">
        <f>'cost (old)'!N42*cost!N$3</f>
        <v>0.15352941562617239</v>
      </c>
      <c r="O43" s="16">
        <f>'cost (old)'!O42*cost!O$3</f>
        <v>0.20635938666962492</v>
      </c>
      <c r="P43" s="16"/>
      <c r="Q43" s="16">
        <f>'cost (old)'!Q42*cost!Q$3</f>
        <v>0.21171703217997798</v>
      </c>
      <c r="R43" s="16">
        <f>'cost (old)'!R42*cost!R$3</f>
        <v>0.33118771102747518</v>
      </c>
      <c r="S43" s="16">
        <f>'cost (old)'!S42*cost!S$3</f>
        <v>1.5932979795805924</v>
      </c>
    </row>
    <row r="44" spans="1:19" x14ac:dyDescent="0.2">
      <c r="A44" s="108">
        <v>39</v>
      </c>
      <c r="B44" s="3" t="s">
        <v>350</v>
      </c>
      <c r="C44" s="16">
        <f>'cost (old)'!C43*cost!C$3</f>
        <v>0.25329982669843443</v>
      </c>
      <c r="D44" s="16">
        <f>'cost (old)'!D43*cost!D$3</f>
        <v>0.31194748826259527</v>
      </c>
      <c r="E44" s="16">
        <f>'cost (old)'!E43*cost!E$3</f>
        <v>0.31775815030938576</v>
      </c>
      <c r="F44" s="16">
        <f>'cost (old)'!F43*cost!F$3</f>
        <v>0.30477114483019802</v>
      </c>
      <c r="G44" s="16">
        <f>'cost (old)'!G43*cost!G$3</f>
        <v>0.30191903302857143</v>
      </c>
      <c r="H44" s="16">
        <f>'cost (old)'!H43*cost!H$3</f>
        <v>0.29598510144418139</v>
      </c>
      <c r="I44" s="16">
        <f>'cost (old)'!I43*cost!I$3</f>
        <v>0.31462588918927248</v>
      </c>
      <c r="J44" s="16"/>
      <c r="K44" s="16">
        <f>'cost (old)'!K43*cost!K$3</f>
        <v>0.32033984507175767</v>
      </c>
      <c r="L44" s="16">
        <f>'cost (old)'!L43*cost!L$3</f>
        <v>0.32976746271805762</v>
      </c>
      <c r="M44" s="16">
        <f>'cost (old)'!M43*cost!M$3</f>
        <v>0.33006150097185155</v>
      </c>
      <c r="N44" s="16">
        <f>'cost (old)'!N43*cost!N$3</f>
        <v>0.28839315629546097</v>
      </c>
      <c r="O44" s="16">
        <f>'cost (old)'!O43*cost!O$3</f>
        <v>0.30637956355629548</v>
      </c>
      <c r="P44" s="16"/>
      <c r="Q44" s="16">
        <f>'cost (old)'!Q43*cost!Q$3</f>
        <v>0.32924085535557429</v>
      </c>
      <c r="R44" s="16">
        <f>'cost (old)'!R43*cost!R$3</f>
        <v>0.30516164835501963</v>
      </c>
      <c r="S44" s="16">
        <f>'cost (old)'!S43*cost!S$3</f>
        <v>0.27492910486081001</v>
      </c>
    </row>
    <row r="45" spans="1:19" x14ac:dyDescent="0.2">
      <c r="A45" s="108">
        <v>40</v>
      </c>
      <c r="B45" s="2" t="s">
        <v>583</v>
      </c>
      <c r="C45" s="16">
        <f>'cost (old)'!C44*cost!C$3</f>
        <v>0.50337882074529205</v>
      </c>
      <c r="D45" s="16">
        <f>'cost (old)'!D44*cost!D$3</f>
        <v>0.27210751673113637</v>
      </c>
      <c r="E45" s="16">
        <f>'cost (old)'!E44*cost!E$3</f>
        <v>0.30964422198864705</v>
      </c>
      <c r="F45" s="16">
        <f>'cost (old)'!F44*cost!F$3</f>
        <v>0.31067917429180819</v>
      </c>
      <c r="G45" s="16">
        <f>'cost (old)'!G44*cost!G$3</f>
        <v>0.31302424961584563</v>
      </c>
      <c r="H45" s="16">
        <f>'cost (old)'!H44*cost!H$3</f>
        <v>0.36145316128839622</v>
      </c>
      <c r="I45" s="16">
        <f>'cost (old)'!I44*cost!I$3</f>
        <v>0.24810400480163144</v>
      </c>
      <c r="J45" s="16"/>
      <c r="K45" s="16">
        <f>'cost (old)'!K44*cost!K$3</f>
        <v>0.27490836308772798</v>
      </c>
      <c r="L45" s="16">
        <f>'cost (old)'!L44*cost!L$3</f>
        <v>0.27823019100644575</v>
      </c>
      <c r="M45" s="16">
        <f>'cost (old)'!M44*cost!M$3</f>
        <v>0.34729119923871876</v>
      </c>
      <c r="N45" s="16">
        <f>'cost (old)'!N44*cost!N$3</f>
        <v>0.27006149963353815</v>
      </c>
      <c r="O45" s="16">
        <f>'cost (old)'!O44*cost!O$3</f>
        <v>0.35498317831100795</v>
      </c>
      <c r="P45" s="16"/>
      <c r="Q45" s="16">
        <f>'cost (old)'!Q44*cost!Q$3</f>
        <v>0.3473376521264549</v>
      </c>
      <c r="R45" s="16">
        <f>'cost (old)'!R44*cost!R$3</f>
        <v>0.28420680426336986</v>
      </c>
      <c r="S45" s="16">
        <f>'cost (old)'!S44*cost!S$3</f>
        <v>0.34043358574311749</v>
      </c>
    </row>
    <row r="46" spans="1:19" x14ac:dyDescent="0.2">
      <c r="A46" s="108">
        <v>41</v>
      </c>
      <c r="B46" s="3" t="s">
        <v>351</v>
      </c>
      <c r="C46" s="16">
        <f>'cost (old)'!C45*cost!C$3</f>
        <v>0.17408880189969822</v>
      </c>
      <c r="D46" s="16">
        <f>'cost (old)'!D45*cost!D$3</f>
        <v>0.20690189987840527</v>
      </c>
      <c r="E46" s="16">
        <f>'cost (old)'!E45*cost!E$3</f>
        <v>0.17832125585918449</v>
      </c>
      <c r="F46" s="16">
        <f>'cost (old)'!F45*cost!F$3</f>
        <v>0.20270912151558457</v>
      </c>
      <c r="G46" s="16">
        <f>'cost (old)'!G45*cost!G$3</f>
        <v>0.16935129712898503</v>
      </c>
      <c r="H46" s="16">
        <f>'cost (old)'!H45*cost!H$3</f>
        <v>0.19333844949857026</v>
      </c>
      <c r="I46" s="16">
        <f>'cost (old)'!I45*cost!I$3</f>
        <v>0.16511626391359235</v>
      </c>
      <c r="J46" s="16"/>
      <c r="K46" s="16">
        <f>'cost (old)'!K45*cost!K$3</f>
        <v>0.17385227028431166</v>
      </c>
      <c r="L46" s="16">
        <f>'cost (old)'!L45*cost!L$3</f>
        <v>0.16203131044536284</v>
      </c>
      <c r="M46" s="16">
        <f>'cost (old)'!M45*cost!M$3</f>
        <v>0.22603790320478134</v>
      </c>
      <c r="N46" s="16">
        <f>'cost (old)'!N45*cost!N$3</f>
        <v>0.20145341126857216</v>
      </c>
      <c r="O46" s="16">
        <f>'cost (old)'!O45*cost!O$3</f>
        <v>0.19075960932671507</v>
      </c>
      <c r="P46" s="16"/>
      <c r="Q46" s="16">
        <f>'cost (old)'!Q45*cost!Q$3</f>
        <v>0.19949046800332554</v>
      </c>
      <c r="R46" s="16">
        <f>'cost (old)'!R45*cost!R$3</f>
        <v>0.1397653405242599</v>
      </c>
      <c r="S46" s="16">
        <f>'cost (old)'!S45*cost!S$3</f>
        <v>0.19872279951549746</v>
      </c>
    </row>
    <row r="47" spans="1:19" x14ac:dyDescent="0.2">
      <c r="A47" s="108">
        <v>42</v>
      </c>
      <c r="B47" s="2" t="s">
        <v>584</v>
      </c>
      <c r="C47" s="16">
        <f>'cost (old)'!C46*cost!C$3</f>
        <v>0.30998167838845647</v>
      </c>
      <c r="D47" s="16">
        <f>'cost (old)'!D46*cost!D$3</f>
        <v>0.29840186078793468</v>
      </c>
      <c r="E47" s="16">
        <f>'cost (old)'!E46*cost!E$3</f>
        <v>0.30130145080387738</v>
      </c>
      <c r="F47" s="16">
        <f>'cost (old)'!F46*cost!F$3</f>
        <v>0.31231765811892731</v>
      </c>
      <c r="G47" s="16">
        <f>'cost (old)'!G46*cost!G$3</f>
        <v>0.3079190203716799</v>
      </c>
      <c r="H47" s="16">
        <f>'cost (old)'!H46*cost!H$3</f>
        <v>0.29391431428800052</v>
      </c>
      <c r="I47" s="16">
        <f>'cost (old)'!I46*cost!I$3</f>
        <v>0.30614385440518971</v>
      </c>
      <c r="J47" s="16"/>
      <c r="K47" s="16">
        <f>'cost (old)'!K46*cost!K$3</f>
        <v>0.34286675664530314</v>
      </c>
      <c r="L47" s="16">
        <f>'cost (old)'!L46*cost!L$3</f>
        <v>0.31440047806062699</v>
      </c>
      <c r="M47" s="16">
        <f>'cost (old)'!M46*cost!M$3</f>
        <v>0.31615940589465302</v>
      </c>
      <c r="N47" s="16">
        <f>'cost (old)'!N46*cost!N$3</f>
        <v>0.31306508907189728</v>
      </c>
      <c r="O47" s="16">
        <f>'cost (old)'!O46*cost!O$3</f>
        <v>0.31570482200265754</v>
      </c>
      <c r="P47" s="16"/>
      <c r="Q47" s="16">
        <f>'cost (old)'!Q46*cost!Q$3</f>
        <v>0.33118334626218804</v>
      </c>
      <c r="R47" s="16">
        <f>'cost (old)'!R46*cost!R$3</f>
        <v>0.32070883729758298</v>
      </c>
      <c r="S47" s="16">
        <f>'cost (old)'!S46*cost!S$3</f>
        <v>0.30072895511692588</v>
      </c>
    </row>
    <row r="48" spans="1:19" x14ac:dyDescent="0.2">
      <c r="A48" s="108">
        <v>43</v>
      </c>
      <c r="B48" s="2" t="s">
        <v>230</v>
      </c>
      <c r="C48" s="16">
        <f>'cost (old)'!C47*cost!C$3</f>
        <v>0.29183001798747432</v>
      </c>
      <c r="D48" s="16">
        <f>'cost (old)'!D47*cost!D$3</f>
        <v>0.39417635689408892</v>
      </c>
      <c r="E48" s="16">
        <f>'cost (old)'!E47*cost!E$3</f>
        <v>0.36507691136585291</v>
      </c>
      <c r="F48" s="16">
        <f>'cost (old)'!F47*cost!F$3</f>
        <v>0.39818785113340982</v>
      </c>
      <c r="G48" s="16">
        <f>'cost (old)'!G47*cost!G$3</f>
        <v>0.39435200536841986</v>
      </c>
      <c r="H48" s="16">
        <f>'cost (old)'!H47*cost!H$3</f>
        <v>0.49896509905751962</v>
      </c>
      <c r="I48" s="16">
        <f>'cost (old)'!I47*cost!I$3</f>
        <v>0.36434501564292121</v>
      </c>
      <c r="J48" s="16"/>
      <c r="K48" s="16">
        <f>'cost (old)'!K47*cost!K$3</f>
        <v>0.31603141397794215</v>
      </c>
      <c r="L48" s="16">
        <f>'cost (old)'!L47*cost!L$3</f>
        <v>0.30344193582810658</v>
      </c>
      <c r="M48" s="16">
        <f>'cost (old)'!M47*cost!M$3</f>
        <v>0.24425822044440765</v>
      </c>
      <c r="N48" s="16">
        <f>'cost (old)'!N47*cost!N$3</f>
        <v>0.4495119499586635</v>
      </c>
      <c r="O48" s="16">
        <f>'cost (old)'!O47*cost!O$3</f>
        <v>0.30695725056428019</v>
      </c>
      <c r="P48" s="16"/>
      <c r="Q48" s="16">
        <f>'cost (old)'!Q47*cost!Q$3</f>
        <v>0.38701867529800915</v>
      </c>
      <c r="R48" s="16">
        <f>'cost (old)'!R47*cost!R$3</f>
        <v>0.37426325343453432</v>
      </c>
      <c r="S48" s="16">
        <f>'cost (old)'!S47*cost!S$3</f>
        <v>0.31745997421000965</v>
      </c>
    </row>
    <row r="49" spans="1:19" x14ac:dyDescent="0.2">
      <c r="A49" s="108">
        <v>44</v>
      </c>
      <c r="B49" s="3" t="s">
        <v>352</v>
      </c>
      <c r="C49" s="16">
        <f>'cost (old)'!C48*cost!C$3</f>
        <v>0.13422299794849615</v>
      </c>
      <c r="D49" s="16">
        <f>'cost (old)'!D48*cost!D$3</f>
        <v>0.13806316976611177</v>
      </c>
      <c r="E49" s="16">
        <f>'cost (old)'!E48*cost!E$3</f>
        <v>0.15354847145134309</v>
      </c>
      <c r="F49" s="16">
        <f>'cost (old)'!F48*cost!F$3</f>
        <v>0.13388300534349723</v>
      </c>
      <c r="G49" s="16">
        <f>'cost (old)'!G48*cost!G$3</f>
        <v>0.12293975000547964</v>
      </c>
      <c r="H49" s="16">
        <f>'cost (old)'!H48*cost!H$3</f>
        <v>0.15777350723048683</v>
      </c>
      <c r="I49" s="16">
        <f>'cost (old)'!I48*cost!I$3</f>
        <v>0.1830476993496718</v>
      </c>
      <c r="J49" s="16"/>
      <c r="K49" s="16">
        <f>'cost (old)'!K48*cost!K$3</f>
        <v>0.14212179201479586</v>
      </c>
      <c r="L49" s="16">
        <f>'cost (old)'!L48*cost!L$3</f>
        <v>0.14614336594224339</v>
      </c>
      <c r="M49" s="16">
        <f>'cost (old)'!M48*cost!M$3</f>
        <v>0.15118173405676075</v>
      </c>
      <c r="N49" s="16">
        <f>'cost (old)'!N48*cost!N$3</f>
        <v>0.11169090366487419</v>
      </c>
      <c r="O49" s="16">
        <f>'cost (old)'!O48*cost!O$3</f>
        <v>0.13782413375634484</v>
      </c>
      <c r="P49" s="16"/>
      <c r="Q49" s="16">
        <f>'cost (old)'!Q48*cost!Q$3</f>
        <v>0.14485149222730379</v>
      </c>
      <c r="R49" s="16">
        <f>'cost (old)'!R48*cost!R$3</f>
        <v>0.15587874286131903</v>
      </c>
      <c r="S49" s="16">
        <f>'cost (old)'!S48*cost!S$3</f>
        <v>0.14490799452861522</v>
      </c>
    </row>
    <row r="50" spans="1:19" x14ac:dyDescent="0.2">
      <c r="A50" s="108">
        <v>45</v>
      </c>
      <c r="B50" s="2" t="s">
        <v>176</v>
      </c>
      <c r="C50" s="16">
        <f>'cost (old)'!C49*cost!C$3</f>
        <v>0.59854700254782967</v>
      </c>
      <c r="D50" s="16">
        <f>'cost (old)'!D49*cost!D$3</f>
        <v>0.50877411355675672</v>
      </c>
      <c r="E50" s="16">
        <f>'cost (old)'!E49*cost!E$3</f>
        <v>0.72951579181486348</v>
      </c>
      <c r="F50" s="16">
        <f>'cost (old)'!F49*cost!F$3</f>
        <v>0.50865607165936022</v>
      </c>
      <c r="G50" s="16">
        <f>'cost (old)'!G49*cost!G$3</f>
        <v>0.54558598033716144</v>
      </c>
      <c r="H50" s="16">
        <f>'cost (old)'!H49*cost!H$3</f>
        <v>0.93308048510149766</v>
      </c>
      <c r="I50" s="16">
        <f>'cost (old)'!I49*cost!I$3</f>
        <v>0.48869660708397628</v>
      </c>
      <c r="J50" s="16"/>
      <c r="K50" s="16">
        <f>'cost (old)'!K49*cost!K$3</f>
        <v>0.48405702660495742</v>
      </c>
      <c r="L50" s="16">
        <f>'cost (old)'!L49*cost!L$3</f>
        <v>0.53898446369598196</v>
      </c>
      <c r="M50" s="16">
        <f>'cost (old)'!M49*cost!M$3</f>
        <v>0.66065876940571888</v>
      </c>
      <c r="N50" s="16">
        <f>'cost (old)'!N49*cost!N$3</f>
        <v>0.44645786202021004</v>
      </c>
      <c r="O50" s="16">
        <f>'cost (old)'!O49*cost!O$3</f>
        <v>0.53250051663108866</v>
      </c>
      <c r="P50" s="16"/>
      <c r="Q50" s="16">
        <f>'cost (old)'!Q49*cost!Q$3</f>
        <v>0.57347967385939547</v>
      </c>
      <c r="R50" s="16">
        <f>'cost (old)'!R49*cost!R$3</f>
        <v>0.53065931065514516</v>
      </c>
      <c r="S50" s="16">
        <f>'cost (old)'!S49*cost!S$3</f>
        <v>0.51041721763503678</v>
      </c>
    </row>
    <row r="51" spans="1:19" x14ac:dyDescent="0.2">
      <c r="A51" s="108">
        <v>46</v>
      </c>
      <c r="B51" s="2" t="s">
        <v>448</v>
      </c>
      <c r="C51" s="16">
        <f>'cost (old)'!C50*cost!C$3</f>
        <v>0.25384226616879785</v>
      </c>
      <c r="D51" s="16">
        <f>'cost (old)'!D50*cost!D$3</f>
        <v>0.24092759658848675</v>
      </c>
      <c r="E51" s="16">
        <f>'cost (old)'!E50*cost!E$3</f>
        <v>0.22598279820542488</v>
      </c>
      <c r="F51" s="16">
        <f>'cost (old)'!F50*cost!F$3</f>
        <v>0.22971555184854331</v>
      </c>
      <c r="G51" s="16">
        <f>'cost (old)'!G50*cost!G$3</f>
        <v>0.21430146884121987</v>
      </c>
      <c r="H51" s="16">
        <f>'cost (old)'!H50*cost!H$3</f>
        <v>0.23365025111420465</v>
      </c>
      <c r="I51" s="16">
        <f>'cost (old)'!I50*cost!I$3</f>
        <v>0.23465089458792718</v>
      </c>
      <c r="J51" s="16"/>
      <c r="K51" s="16">
        <f>'cost (old)'!K50*cost!K$3</f>
        <v>0.23528036914523393</v>
      </c>
      <c r="L51" s="16">
        <f>'cost (old)'!L50*cost!L$3</f>
        <v>0.22784380538548354</v>
      </c>
      <c r="M51" s="16">
        <f>'cost (old)'!M50*cost!M$3</f>
        <v>0.24704953068618032</v>
      </c>
      <c r="N51" s="16">
        <f>'cost (old)'!N50*cost!N$3</f>
        <v>0.22376346374106076</v>
      </c>
      <c r="O51" s="16">
        <f>'cost (old)'!O50*cost!O$3</f>
        <v>0.22697332660277225</v>
      </c>
      <c r="P51" s="16"/>
      <c r="Q51" s="16">
        <f>'cost (old)'!Q50*cost!Q$3</f>
        <v>0.24824987940437543</v>
      </c>
      <c r="R51" s="16">
        <f>'cost (old)'!R50*cost!R$3</f>
        <v>0.24262242801146011</v>
      </c>
      <c r="S51" s="16">
        <f>'cost (old)'!S50*cost!S$3</f>
        <v>0.23228210303429797</v>
      </c>
    </row>
    <row r="52" spans="1:19" x14ac:dyDescent="0.2">
      <c r="A52" s="108">
        <v>47</v>
      </c>
      <c r="B52" s="3" t="s">
        <v>188</v>
      </c>
      <c r="C52" s="16">
        <f>'cost (old)'!C51*cost!C$3</f>
        <v>0.41598511084785939</v>
      </c>
      <c r="D52" s="16">
        <f>'cost (old)'!D51*cost!D$3</f>
        <v>0.51499439886163401</v>
      </c>
      <c r="E52" s="16">
        <f>'cost (old)'!E51*cost!E$3</f>
        <v>0.52688321743766442</v>
      </c>
      <c r="F52" s="16">
        <f>'cost (old)'!F51*cost!F$3</f>
        <v>0.79554141180007498</v>
      </c>
      <c r="G52" s="16">
        <f>'cost (old)'!G51*cost!G$3</f>
        <v>0.65628999241637032</v>
      </c>
      <c r="H52" s="16">
        <f>'cost (old)'!H51*cost!H$3</f>
        <v>0.39276528291548946</v>
      </c>
      <c r="I52" s="16">
        <f>'cost (old)'!I51*cost!I$3</f>
        <v>0.55639577553405994</v>
      </c>
      <c r="J52" s="16"/>
      <c r="K52" s="16">
        <f>'cost (old)'!K51*cost!K$3</f>
        <v>0.4939320499818996</v>
      </c>
      <c r="L52" s="16">
        <f>'cost (old)'!L51*cost!L$3</f>
        <v>0.45568385782226062</v>
      </c>
      <c r="M52" s="16">
        <f>'cost (old)'!M51*cost!M$3</f>
        <v>0.46169673774892633</v>
      </c>
      <c r="N52" s="16">
        <f>'cost (old)'!N51*cost!N$3</f>
        <v>0.42800272937107126</v>
      </c>
      <c r="O52" s="16">
        <f>'cost (old)'!O51*cost!O$3</f>
        <v>0.54964452256946517</v>
      </c>
      <c r="P52" s="16"/>
      <c r="Q52" s="16">
        <f>'cost (old)'!Q51*cost!Q$3</f>
        <v>0.58884806903791465</v>
      </c>
      <c r="R52" s="16">
        <f>'cost (old)'!R51*cost!R$3</f>
        <v>0.50269767106288865</v>
      </c>
      <c r="S52" s="16">
        <f>'cost (old)'!S51*cost!S$3</f>
        <v>0.50143691001922464</v>
      </c>
    </row>
    <row r="53" spans="1:19" x14ac:dyDescent="0.2">
      <c r="A53" s="108">
        <v>48</v>
      </c>
      <c r="B53" s="3" t="s">
        <v>189</v>
      </c>
      <c r="C53" s="16">
        <f>'cost (old)'!C52*cost!C$3</f>
        <v>0.32399375450407097</v>
      </c>
      <c r="D53" s="16">
        <f>'cost (old)'!D52*cost!D$3</f>
        <v>0.2561275110235347</v>
      </c>
      <c r="E53" s="16">
        <f>'cost (old)'!E52*cost!E$3</f>
        <v>0.26183111491070254</v>
      </c>
      <c r="F53" s="16">
        <f>'cost (old)'!F52*cost!F$3</f>
        <v>0.29230340291253676</v>
      </c>
      <c r="G53" s="16">
        <f>'cost (old)'!G52*cost!G$3</f>
        <v>0.26418979386718178</v>
      </c>
      <c r="H53" s="16">
        <f>'cost (old)'!H52*cost!H$3</f>
        <v>0.29400247048378975</v>
      </c>
      <c r="I53" s="16">
        <f>'cost (old)'!I52*cost!I$3</f>
        <v>0.25397214717592714</v>
      </c>
      <c r="J53" s="16"/>
      <c r="K53" s="16">
        <f>'cost (old)'!K52*cost!K$3</f>
        <v>0.29893804592316892</v>
      </c>
      <c r="L53" s="16">
        <f>'cost (old)'!L52*cost!L$3</f>
        <v>0.30129287602250876</v>
      </c>
      <c r="M53" s="16">
        <f>'cost (old)'!M52*cost!M$3</f>
        <v>0.28818043303806495</v>
      </c>
      <c r="N53" s="16">
        <f>'cost (old)'!N52*cost!N$3</f>
        <v>0.26535603469656732</v>
      </c>
      <c r="O53" s="16">
        <f>'cost (old)'!O52*cost!O$3</f>
        <v>0.30008665720963107</v>
      </c>
      <c r="P53" s="16"/>
      <c r="Q53" s="16">
        <f>'cost (old)'!Q52*cost!Q$3</f>
        <v>0.25424098340125906</v>
      </c>
      <c r="R53" s="16">
        <f>'cost (old)'!R52*cost!R$3</f>
        <v>0.3356423533247514</v>
      </c>
      <c r="S53" s="16">
        <f>'cost (old)'!S52*cost!S$3</f>
        <v>0.25858363042274457</v>
      </c>
    </row>
    <row r="54" spans="1:19" x14ac:dyDescent="0.2">
      <c r="A54" s="108">
        <v>49</v>
      </c>
      <c r="B54" s="2" t="s">
        <v>155</v>
      </c>
      <c r="C54" s="16">
        <f>'cost (old)'!C53*cost!C$3</f>
        <v>0.27911732323172173</v>
      </c>
      <c r="D54" s="16">
        <f>'cost (old)'!D53*cost!D$3</f>
        <v>0.47871715267605819</v>
      </c>
      <c r="E54" s="16">
        <f>'cost (old)'!E53*cost!E$3</f>
        <v>0.60006134783045806</v>
      </c>
      <c r="F54" s="16">
        <f>'cost (old)'!F53*cost!F$3</f>
        <v>0.42240521400877118</v>
      </c>
      <c r="G54" s="16">
        <f>'cost (old)'!G53*cost!G$3</f>
        <v>0.32341845168453554</v>
      </c>
      <c r="H54" s="16">
        <f>'cost (old)'!H53*cost!H$3</f>
        <v>0.35078363932523515</v>
      </c>
      <c r="I54" s="16">
        <f>'cost (old)'!I53*cost!I$3</f>
        <v>0.36848650837014313</v>
      </c>
      <c r="J54" s="16"/>
      <c r="K54" s="16">
        <f>'cost (old)'!K53*cost!K$3</f>
        <v>0.58692444169480196</v>
      </c>
      <c r="L54" s="16">
        <f>'cost (old)'!L53*cost!L$3</f>
        <v>0.40869179706758724</v>
      </c>
      <c r="M54" s="16">
        <f>'cost (old)'!M53*cost!M$3</f>
        <v>0.36089670183482164</v>
      </c>
      <c r="N54" s="16">
        <f>'cost (old)'!N53*cost!N$3</f>
        <v>0.32723504658408675</v>
      </c>
      <c r="O54" s="16">
        <f>'cost (old)'!O53*cost!O$3</f>
        <v>0.37004512287508046</v>
      </c>
      <c r="P54" s="16"/>
      <c r="Q54" s="16">
        <f>'cost (old)'!Q53*cost!Q$3</f>
        <v>0.32879199398108383</v>
      </c>
      <c r="R54" s="16">
        <f>'cost (old)'!R53*cost!R$3</f>
        <v>0.39183542782446329</v>
      </c>
      <c r="S54" s="16">
        <f>'cost (old)'!S53*cost!S$3</f>
        <v>0.30842383583471772</v>
      </c>
    </row>
    <row r="55" spans="1:19" x14ac:dyDescent="0.2">
      <c r="A55" s="108">
        <v>50</v>
      </c>
      <c r="B55" s="2" t="s">
        <v>48</v>
      </c>
      <c r="C55" s="16">
        <f>'cost (old)'!C54*cost!C$3</f>
        <v>0.1884637691576066</v>
      </c>
      <c r="D55" s="16">
        <f>'cost (old)'!D54*cost!D$3</f>
        <v>0.16083746027033133</v>
      </c>
      <c r="E55" s="16">
        <f>'cost (old)'!E54*cost!E$3</f>
        <v>0.16626389204730735</v>
      </c>
      <c r="F55" s="16">
        <f>'cost (old)'!F54*cost!F$3</f>
        <v>0.23180450298572478</v>
      </c>
      <c r="G55" s="16">
        <f>'cost (old)'!G54*cost!G$3</f>
        <v>0.20587921996057479</v>
      </c>
      <c r="H55" s="16">
        <f>'cost (old)'!H54*cost!H$3</f>
        <v>0.27293758500106652</v>
      </c>
      <c r="I55" s="16">
        <f>'cost (old)'!I54*cost!I$3</f>
        <v>0.16667093356112211</v>
      </c>
      <c r="J55" s="16"/>
      <c r="K55" s="16">
        <f>'cost (old)'!K54*cost!K$3</f>
        <v>0.23217925989832688</v>
      </c>
      <c r="L55" s="16">
        <f>'cost (old)'!L54*cost!L$3</f>
        <v>0.26449500552616179</v>
      </c>
      <c r="M55" s="16">
        <f>'cost (old)'!M54*cost!M$3</f>
        <v>0.23542964436870445</v>
      </c>
      <c r="N55" s="16">
        <f>'cost (old)'!N54*cost!N$3</f>
        <v>0.22325153792615962</v>
      </c>
      <c r="O55" s="16">
        <f>'cost (old)'!O54*cost!O$3</f>
        <v>0.23295617584078701</v>
      </c>
      <c r="P55" s="16"/>
      <c r="Q55" s="16">
        <f>'cost (old)'!Q54*cost!Q$3</f>
        <v>0.23481062299856423</v>
      </c>
      <c r="R55" s="16">
        <f>'cost (old)'!R54*cost!R$3</f>
        <v>0.20009316727684939</v>
      </c>
      <c r="S55" s="16">
        <f>'cost (old)'!S54*cost!S$3</f>
        <v>0.23138552135974388</v>
      </c>
    </row>
    <row r="56" spans="1:19" x14ac:dyDescent="0.2">
      <c r="A56" s="108">
        <v>51</v>
      </c>
      <c r="B56" s="3" t="s">
        <v>190</v>
      </c>
      <c r="C56" s="16">
        <f>'cost (old)'!C55*cost!C$3</f>
        <v>0.30561205288843429</v>
      </c>
      <c r="D56" s="16">
        <f>'cost (old)'!D55*cost!D$3</f>
        <v>0.2489891444358707</v>
      </c>
      <c r="E56" s="16">
        <f>'cost (old)'!E55*cost!E$3</f>
        <v>0.3132532891961019</v>
      </c>
      <c r="F56" s="16">
        <f>'cost (old)'!F55*cost!F$3</f>
        <v>0.30966441117018595</v>
      </c>
      <c r="G56" s="16">
        <f>'cost (old)'!G55*cost!G$3</f>
        <v>0.38415719677474452</v>
      </c>
      <c r="H56" s="16">
        <f>'cost (old)'!H55*cost!H$3</f>
        <v>0.27083605935380262</v>
      </c>
      <c r="I56" s="16">
        <f>'cost (old)'!I55*cost!I$3</f>
        <v>0.33781894643786503</v>
      </c>
      <c r="J56" s="16"/>
      <c r="K56" s="16">
        <f>'cost (old)'!K55*cost!K$3</f>
        <v>0.37843060073126067</v>
      </c>
      <c r="L56" s="16">
        <f>'cost (old)'!L55*cost!L$3</f>
        <v>0.32137935428270059</v>
      </c>
      <c r="M56" s="16">
        <f>'cost (old)'!M55*cost!M$3</f>
        <v>0.25654460080986724</v>
      </c>
      <c r="N56" s="16">
        <f>'cost (old)'!N55*cost!N$3</f>
        <v>0.23153240908491107</v>
      </c>
      <c r="O56" s="16">
        <f>'cost (old)'!O55*cost!O$3</f>
        <v>0.33501164708800413</v>
      </c>
      <c r="P56" s="16"/>
      <c r="Q56" s="16">
        <f>'cost (old)'!Q55*cost!Q$3</f>
        <v>0.32780020650095376</v>
      </c>
      <c r="R56" s="16">
        <f>'cost (old)'!R55*cost!R$3</f>
        <v>0.35185309661006625</v>
      </c>
      <c r="S56" s="16">
        <f>'cost (old)'!S55*cost!S$3</f>
        <v>0.33557261595935955</v>
      </c>
    </row>
    <row r="57" spans="1:19" x14ac:dyDescent="0.2">
      <c r="A57" s="108">
        <v>52</v>
      </c>
      <c r="B57" s="3" t="s">
        <v>191</v>
      </c>
      <c r="C57" s="16">
        <f>'cost (old)'!C56*cost!C$3</f>
        <v>0.42478741798810615</v>
      </c>
      <c r="D57" s="16">
        <f>'cost (old)'!D56*cost!D$3</f>
        <v>0.42237304804652209</v>
      </c>
      <c r="E57" s="16">
        <f>'cost (old)'!E56*cost!E$3</f>
        <v>0.36844550225469441</v>
      </c>
      <c r="F57" s="16">
        <f>'cost (old)'!F56*cost!F$3</f>
        <v>0.39192823656970405</v>
      </c>
      <c r="G57" s="16">
        <f>'cost (old)'!G56*cost!G$3</f>
        <v>0.38262193651457083</v>
      </c>
      <c r="H57" s="16">
        <f>'cost (old)'!H56*cost!H$3</f>
        <v>0.39787245568898749</v>
      </c>
      <c r="I57" s="16">
        <f>'cost (old)'!I56*cost!I$3</f>
        <v>0.38537304918142234</v>
      </c>
      <c r="J57" s="16"/>
      <c r="K57" s="16">
        <f>'cost (old)'!K56*cost!K$3</f>
        <v>0.40779274008877153</v>
      </c>
      <c r="L57" s="16">
        <f>'cost (old)'!L56*cost!L$3</f>
        <v>0.31201560770205139</v>
      </c>
      <c r="M57" s="16">
        <f>'cost (old)'!M56*cost!M$3</f>
        <v>0.32433672980389627</v>
      </c>
      <c r="N57" s="16">
        <f>'cost (old)'!N56*cost!N$3</f>
        <v>0.3361182990007458</v>
      </c>
      <c r="O57" s="16">
        <f>'cost (old)'!O56*cost!O$3</f>
        <v>0.28331029633963123</v>
      </c>
      <c r="P57" s="16"/>
      <c r="Q57" s="16">
        <f>'cost (old)'!Q56*cost!Q$3</f>
        <v>0.37913471472867982</v>
      </c>
      <c r="R57" s="16">
        <f>'cost (old)'!R56*cost!R$3</f>
        <v>0.33265390658354843</v>
      </c>
      <c r="S57" s="16">
        <f>'cost (old)'!S56*cost!S$3</f>
        <v>0.38529301166909152</v>
      </c>
    </row>
    <row r="58" spans="1:19" x14ac:dyDescent="0.2">
      <c r="A58" s="108">
        <v>53</v>
      </c>
      <c r="B58" s="2" t="s">
        <v>422</v>
      </c>
      <c r="C58" s="16">
        <f>'cost (old)'!C57*cost!C$3</f>
        <v>0.44912967021409678</v>
      </c>
      <c r="D58" s="16">
        <f>'cost (old)'!D57*cost!D$3</f>
        <v>0.23521883442706812</v>
      </c>
      <c r="E58" s="16">
        <f>'cost (old)'!E57*cost!E$3</f>
        <v>0.34946466223923783</v>
      </c>
      <c r="F58" s="16">
        <f>'cost (old)'!F57*cost!F$3</f>
        <v>0.35670631127777885</v>
      </c>
      <c r="G58" s="16">
        <f>'cost (old)'!G57*cost!G$3</f>
        <v>0.35629793418651745</v>
      </c>
      <c r="H58" s="16">
        <f>'cost (old)'!H57*cost!H$3</f>
        <v>0.29771149751726744</v>
      </c>
      <c r="I58" s="16">
        <f>'cost (old)'!I57*cost!I$3</f>
        <v>0.31573970342041235</v>
      </c>
      <c r="J58" s="16"/>
      <c r="K58" s="16">
        <f>'cost (old)'!K57*cost!K$3</f>
        <v>0.4118505786615817</v>
      </c>
      <c r="L58" s="16">
        <f>'cost (old)'!L57*cost!L$3</f>
        <v>0.34930844995154148</v>
      </c>
      <c r="M58" s="16">
        <f>'cost (old)'!M57*cost!M$3</f>
        <v>0.55290731086128075</v>
      </c>
      <c r="N58" s="16">
        <f>'cost (old)'!N57*cost!N$3</f>
        <v>0.34717994420393472</v>
      </c>
      <c r="O58" s="16">
        <f>'cost (old)'!O57*cost!O$3</f>
        <v>0.49512151531500814</v>
      </c>
      <c r="P58" s="16"/>
      <c r="Q58" s="16">
        <f>'cost (old)'!Q57*cost!Q$3</f>
        <v>0.36759613800672869</v>
      </c>
      <c r="R58" s="16">
        <f>'cost (old)'!R57*cost!R$3</f>
        <v>0.23293711714265622</v>
      </c>
      <c r="S58" s="16">
        <f>'cost (old)'!S57*cost!S$3</f>
        <v>0.28332875155828985</v>
      </c>
    </row>
    <row r="59" spans="1:19" x14ac:dyDescent="0.2">
      <c r="A59" s="108">
        <v>54</v>
      </c>
      <c r="B59" s="3" t="s">
        <v>192</v>
      </c>
      <c r="C59" s="16">
        <f>'cost (old)'!C58*cost!C$3</f>
        <v>0.41696693056687673</v>
      </c>
      <c r="D59" s="16">
        <f>'cost (old)'!D58*cost!D$3</f>
        <v>0.25733549270844075</v>
      </c>
      <c r="E59" s="16">
        <f>'cost (old)'!E58*cost!E$3</f>
        <v>0.35306351059921781</v>
      </c>
      <c r="F59" s="16">
        <f>'cost (old)'!F58*cost!F$3</f>
        <v>0.33162561429174314</v>
      </c>
      <c r="G59" s="16">
        <f>'cost (old)'!G58*cost!G$3</f>
        <v>0.31484712705963674</v>
      </c>
      <c r="H59" s="16">
        <f>'cost (old)'!H58*cost!H$3</f>
        <v>0.33960949975846333</v>
      </c>
      <c r="I59" s="16">
        <f>'cost (old)'!I58*cost!I$3</f>
        <v>0.34106393016428121</v>
      </c>
      <c r="J59" s="16"/>
      <c r="K59" s="16">
        <f>'cost (old)'!K58*cost!K$3</f>
        <v>0.32230006478664114</v>
      </c>
      <c r="L59" s="16">
        <f>'cost (old)'!L58*cost!L$3</f>
        <v>0.46938996980302261</v>
      </c>
      <c r="M59" s="16">
        <f>'cost (old)'!M58*cost!M$3</f>
        <v>0.51520338818494404</v>
      </c>
      <c r="N59" s="16">
        <f>'cost (old)'!N58*cost!N$3</f>
        <v>0.311391896749521</v>
      </c>
      <c r="O59" s="16">
        <f>'cost (old)'!O58*cost!O$3</f>
        <v>0.37718057701172814</v>
      </c>
      <c r="P59" s="16"/>
      <c r="Q59" s="16">
        <f>'cost (old)'!Q58*cost!Q$3</f>
        <v>0.3763173420858501</v>
      </c>
      <c r="R59" s="16">
        <f>'cost (old)'!R58*cost!R$3</f>
        <v>0.29221389530818725</v>
      </c>
      <c r="S59" s="16">
        <f>'cost (old)'!S58*cost!S$3</f>
        <v>0.26297070576735654</v>
      </c>
    </row>
    <row r="60" spans="1:19" x14ac:dyDescent="0.2">
      <c r="A60" s="108">
        <v>55</v>
      </c>
      <c r="B60" s="2" t="s">
        <v>49</v>
      </c>
      <c r="C60" s="16">
        <f>'cost (old)'!C59*cost!C$3</f>
        <v>0.22760032356180138</v>
      </c>
      <c r="D60" s="16">
        <f>'cost (old)'!D59*cost!D$3</f>
        <v>0.26601935878162769</v>
      </c>
      <c r="E60" s="16">
        <f>'cost (old)'!E59*cost!E$3</f>
        <v>0.28565988566640388</v>
      </c>
      <c r="F60" s="16">
        <f>'cost (old)'!F59*cost!F$3</f>
        <v>0.28562700519264422</v>
      </c>
      <c r="G60" s="16">
        <f>'cost (old)'!G59*cost!G$3</f>
        <v>0.28092154978552281</v>
      </c>
      <c r="H60" s="16">
        <f>'cost (old)'!H59*cost!H$3</f>
        <v>0.35884927115132986</v>
      </c>
      <c r="I60" s="16">
        <f>'cost (old)'!I59*cost!I$3</f>
        <v>0.30981341223827025</v>
      </c>
      <c r="J60" s="16"/>
      <c r="K60" s="16">
        <f>'cost (old)'!K59*cost!K$3</f>
        <v>0.37564623319712837</v>
      </c>
      <c r="L60" s="16">
        <f>'cost (old)'!L59*cost!L$3</f>
        <v>0.32269897567791644</v>
      </c>
      <c r="M60" s="16">
        <f>'cost (old)'!M59*cost!M$3</f>
        <v>0.30075467006017537</v>
      </c>
      <c r="N60" s="16">
        <f>'cost (old)'!N59*cost!N$3</f>
        <v>0.30818350871128519</v>
      </c>
      <c r="O60" s="16">
        <f>'cost (old)'!O59*cost!O$3</f>
        <v>0.35125439897613453</v>
      </c>
      <c r="P60" s="16"/>
      <c r="Q60" s="16">
        <f>'cost (old)'!Q59*cost!Q$3</f>
        <v>0.33093436483795413</v>
      </c>
      <c r="R60" s="16">
        <f>'cost (old)'!R59*cost!R$3</f>
        <v>0.37184633708237241</v>
      </c>
      <c r="S60" s="16">
        <f>'cost (old)'!S59*cost!S$3</f>
        <v>0.38008589331850057</v>
      </c>
    </row>
    <row r="61" spans="1:19" x14ac:dyDescent="0.2">
      <c r="A61" s="108">
        <v>56</v>
      </c>
      <c r="B61" s="2" t="s">
        <v>50</v>
      </c>
      <c r="C61" s="16">
        <f>'cost (old)'!C60*cost!C$3</f>
        <v>2.9536340504299145E-2</v>
      </c>
      <c r="D61" s="16">
        <f>'cost (old)'!D60*cost!D$3</f>
        <v>2.7959022871999844E-2</v>
      </c>
      <c r="E61" s="16">
        <f>'cost (old)'!E60*cost!E$3</f>
        <v>2.53889314845448E-2</v>
      </c>
      <c r="F61" s="16">
        <f>'cost (old)'!F60*cost!F$3</f>
        <v>3.0547700426660478E-2</v>
      </c>
      <c r="G61" s="16">
        <f>'cost (old)'!G60*cost!G$3</f>
        <v>7.4179909133954794E-2</v>
      </c>
      <c r="H61" s="16">
        <f>'cost (old)'!H60*cost!H$3</f>
        <v>3.3128793339018373E-2</v>
      </c>
      <c r="I61" s="16">
        <f>'cost (old)'!I60*cost!I$3</f>
        <v>3.4995001581799329E-2</v>
      </c>
      <c r="J61" s="16"/>
      <c r="K61" s="16">
        <f>'cost (old)'!K60*cost!K$3</f>
        <v>2.8969854786299262E-2</v>
      </c>
      <c r="L61" s="16">
        <f>'cost (old)'!L60*cost!L$3</f>
        <v>2.5271344932090885E-2</v>
      </c>
      <c r="M61" s="16">
        <f>'cost (old)'!M60*cost!M$3</f>
        <v>2.9907444864375202E-2</v>
      </c>
      <c r="N61" s="16">
        <f>'cost (old)'!N60*cost!N$3</f>
        <v>3.8474349989207429E-2</v>
      </c>
      <c r="O61" s="16">
        <f>'cost (old)'!O60*cost!O$3</f>
        <v>2.69787865646011E-2</v>
      </c>
      <c r="P61" s="16"/>
      <c r="Q61" s="16">
        <f>'cost (old)'!Q60*cost!Q$3</f>
        <v>5.7188527867612866E-2</v>
      </c>
      <c r="R61" s="16">
        <f>'cost (old)'!R60*cost!R$3</f>
        <v>2.8791357215858585E-2</v>
      </c>
      <c r="S61" s="16">
        <f>'cost (old)'!S60*cost!S$3</f>
        <v>2.679075651393582E-2</v>
      </c>
    </row>
    <row r="62" spans="1:19" x14ac:dyDescent="0.2">
      <c r="A62" s="108">
        <v>57</v>
      </c>
      <c r="B62" s="2" t="s">
        <v>51</v>
      </c>
      <c r="C62" s="16">
        <f>'cost (old)'!C61*cost!C$3</f>
        <v>0.11100576627537226</v>
      </c>
      <c r="D62" s="16">
        <f>'cost (old)'!D61*cost!D$3</f>
        <v>0.11387599324488777</v>
      </c>
      <c r="E62" s="16">
        <f>'cost (old)'!E61*cost!E$3</f>
        <v>0.10527825000142299</v>
      </c>
      <c r="F62" s="16">
        <f>'cost (old)'!F61*cost!F$3</f>
        <v>0.11180212707251871</v>
      </c>
      <c r="G62" s="16">
        <f>'cost (old)'!G61*cost!G$3</f>
        <v>0.10764069421458448</v>
      </c>
      <c r="H62" s="16">
        <f>'cost (old)'!H61*cost!H$3</f>
        <v>9.3589448137907372E-2</v>
      </c>
      <c r="I62" s="16">
        <f>'cost (old)'!I61*cost!I$3</f>
        <v>0.10406516364843951</v>
      </c>
      <c r="J62" s="16"/>
      <c r="K62" s="16">
        <f>'cost (old)'!K61*cost!K$3</f>
        <v>0.10373442676333824</v>
      </c>
      <c r="L62" s="16">
        <f>'cost (old)'!L61*cost!L$3</f>
        <v>9.0378850476796377E-2</v>
      </c>
      <c r="M62" s="16">
        <f>'cost (old)'!M61*cost!M$3</f>
        <v>9.7708329340234379E-2</v>
      </c>
      <c r="N62" s="16">
        <f>'cost (old)'!N61*cost!N$3</f>
        <v>0.10544194765875503</v>
      </c>
      <c r="O62" s="16">
        <f>'cost (old)'!O61*cost!O$3</f>
        <v>9.2881207791750145E-2</v>
      </c>
      <c r="P62" s="16"/>
      <c r="Q62" s="16">
        <f>'cost (old)'!Q61*cost!Q$3</f>
        <v>9.6440480345622678E-2</v>
      </c>
      <c r="R62" s="16">
        <f>'cost (old)'!R61*cost!R$3</f>
        <v>9.8155586297348843E-2</v>
      </c>
      <c r="S62" s="16">
        <f>'cost (old)'!S61*cost!S$3</f>
        <v>8.9237958764629782E-2</v>
      </c>
    </row>
    <row r="63" spans="1:19" x14ac:dyDescent="0.2">
      <c r="A63" s="108">
        <v>58</v>
      </c>
      <c r="B63" s="3" t="s">
        <v>193</v>
      </c>
      <c r="C63" s="16">
        <f>'cost (old)'!C62*cost!C$3</f>
        <v>0.13505275788484722</v>
      </c>
      <c r="D63" s="16">
        <f>'cost (old)'!D62*cost!D$3</f>
        <v>9.3554752261038682E-2</v>
      </c>
      <c r="E63" s="16">
        <f>'cost (old)'!E62*cost!E$3</f>
        <v>8.4856624411271148E-2</v>
      </c>
      <c r="F63" s="16">
        <f>'cost (old)'!F62*cost!F$3</f>
        <v>5.8502793406409466E-2</v>
      </c>
      <c r="G63" s="16">
        <f>'cost (old)'!G62*cost!G$3</f>
        <v>7.9030736500995208E-2</v>
      </c>
      <c r="H63" s="16">
        <f>'cost (old)'!H62*cost!H$3</f>
        <v>8.7188955744000346E-2</v>
      </c>
      <c r="I63" s="16">
        <f>'cost (old)'!I62*cost!I$3</f>
        <v>7.9903242177640887E-2</v>
      </c>
      <c r="J63" s="16"/>
      <c r="K63" s="16">
        <f>'cost (old)'!K62*cost!K$3</f>
        <v>0.11454203688302189</v>
      </c>
      <c r="L63" s="16">
        <f>'cost (old)'!L62*cost!L$3</f>
        <v>0.17516966048410365</v>
      </c>
      <c r="M63" s="16">
        <f>'cost (old)'!M62*cost!M$3</f>
        <v>0.19626332279445868</v>
      </c>
      <c r="N63" s="16">
        <f>'cost (old)'!N62*cost!N$3</f>
        <v>9.3698955091056343E-2</v>
      </c>
      <c r="O63" s="16">
        <f>'cost (old)'!O62*cost!O$3</f>
        <v>8.5924271094617685E-2</v>
      </c>
      <c r="P63" s="16"/>
      <c r="Q63" s="16">
        <f>'cost (old)'!Q62*cost!Q$3</f>
        <v>9.1322876697916916E-2</v>
      </c>
      <c r="R63" s="16">
        <f>'cost (old)'!R62*cost!R$3</f>
        <v>8.3285261823905277E-2</v>
      </c>
      <c r="S63" s="16">
        <f>'cost (old)'!S62*cost!S$3</f>
        <v>7.5670076320250801E-2</v>
      </c>
    </row>
    <row r="64" spans="1:19" x14ac:dyDescent="0.2">
      <c r="A64" s="108">
        <v>59</v>
      </c>
      <c r="B64" s="2" t="s">
        <v>326</v>
      </c>
      <c r="C64" s="16">
        <f>'cost (old)'!C63*cost!C$3</f>
        <v>0.78534294138244864</v>
      </c>
      <c r="D64" s="16">
        <f>'cost (old)'!D63*cost!D$3</f>
        <v>0.91864211748109548</v>
      </c>
      <c r="E64" s="16">
        <f>'cost (old)'!E63*cost!E$3</f>
        <v>0.51249477284159906</v>
      </c>
      <c r="F64" s="16">
        <f>'cost (old)'!F63*cost!F$3</f>
        <v>0.71495296733776903</v>
      </c>
      <c r="G64" s="16">
        <f>'cost (old)'!G63*cost!G$3</f>
        <v>0.61407349854226345</v>
      </c>
      <c r="H64" s="16">
        <f>'cost (old)'!H63*cost!H$3</f>
        <v>0.62694711591955077</v>
      </c>
      <c r="I64" s="16">
        <f>'cost (old)'!I63*cost!I$3</f>
        <v>0.54379106117142029</v>
      </c>
      <c r="J64" s="16"/>
      <c r="K64" s="16">
        <f>'cost (old)'!K63*cost!K$3</f>
        <v>0.47653399416174463</v>
      </c>
      <c r="L64" s="16">
        <f>'cost (old)'!L63*cost!L$3</f>
        <v>0.56968166203879356</v>
      </c>
      <c r="M64" s="16">
        <f>'cost (old)'!M63*cost!M$3</f>
        <v>0.60106621927563253</v>
      </c>
      <c r="N64" s="16">
        <f>'cost (old)'!N63*cost!N$3</f>
        <v>0.66449988382819358</v>
      </c>
      <c r="O64" s="16">
        <f>'cost (old)'!O63*cost!O$3</f>
        <v>0.74254761944822101</v>
      </c>
      <c r="P64" s="16"/>
      <c r="Q64" s="16">
        <f>'cost (old)'!Q63*cost!Q$3</f>
        <v>0.70981929034930691</v>
      </c>
      <c r="R64" s="16">
        <f>'cost (old)'!R63*cost!R$3</f>
        <v>0.68795906921653216</v>
      </c>
      <c r="S64" s="16">
        <f>'cost (old)'!S63*cost!S$3</f>
        <v>0.60422617266450362</v>
      </c>
    </row>
    <row r="66" spans="2:5" ht="32.25" customHeight="1" x14ac:dyDescent="0.2">
      <c r="B66" s="486" t="s">
        <v>656</v>
      </c>
      <c r="C66" s="486"/>
      <c r="D66" s="486"/>
      <c r="E66" s="486"/>
    </row>
  </sheetData>
  <mergeCells count="4">
    <mergeCell ref="C4:G4"/>
    <mergeCell ref="H4:M4"/>
    <mergeCell ref="N4:S4"/>
    <mergeCell ref="B66:E66"/>
  </mergeCells>
  <phoneticPr fontId="1" type="noConversion"/>
  <pageMargins left="0.75" right="0.75" top="1" bottom="1" header="0.5" footer="0.5"/>
  <pageSetup orientation="portrait"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workbookViewId="0">
      <pane xSplit="2" ySplit="5" topLeftCell="C6" activePane="bottomRight" state="frozen"/>
      <selection pane="topRight" activeCell="C1" sqref="C1"/>
      <selection pane="bottomLeft" activeCell="A6" sqref="A6"/>
      <selection pane="bottomRight" activeCell="B2" sqref="B2"/>
    </sheetView>
  </sheetViews>
  <sheetFormatPr defaultColWidth="8.7109375" defaultRowHeight="12.75" x14ac:dyDescent="0.2"/>
  <cols>
    <col min="1" max="1" width="0.140625" style="108" hidden="1" customWidth="1"/>
    <col min="2" max="2" width="28.85546875" style="11" customWidth="1"/>
    <col min="3" max="19" width="10.42578125" style="11" customWidth="1"/>
    <col min="20" max="16384" width="8.7109375" style="11"/>
  </cols>
  <sheetData>
    <row r="1" spans="1:19" ht="15.75" x14ac:dyDescent="0.25">
      <c r="B1" s="328" t="s">
        <v>657</v>
      </c>
    </row>
    <row r="2" spans="1:19" ht="15.75" x14ac:dyDescent="0.25">
      <c r="B2" s="12" t="s">
        <v>204</v>
      </c>
    </row>
    <row r="3" spans="1:19" s="14" customFormat="1" ht="15.75" x14ac:dyDescent="0.25">
      <c r="A3" s="109"/>
      <c r="B3" s="10"/>
      <c r="C3" s="484" t="s">
        <v>79</v>
      </c>
      <c r="D3" s="485"/>
      <c r="E3" s="485"/>
      <c r="F3" s="485"/>
      <c r="G3" s="485"/>
      <c r="H3" s="484" t="s">
        <v>44</v>
      </c>
      <c r="I3" s="485"/>
      <c r="J3" s="485"/>
      <c r="K3" s="485"/>
      <c r="L3" s="485"/>
      <c r="M3" s="485"/>
      <c r="N3" s="484" t="s">
        <v>45</v>
      </c>
      <c r="O3" s="485"/>
      <c r="P3" s="485"/>
      <c r="Q3" s="485"/>
      <c r="R3" s="485"/>
      <c r="S3" s="485"/>
    </row>
    <row r="4" spans="1:19" s="14" customFormat="1" x14ac:dyDescent="0.2">
      <c r="A4" s="109"/>
      <c r="B4" s="15" t="s">
        <v>591</v>
      </c>
      <c r="C4" s="13" t="s">
        <v>514</v>
      </c>
      <c r="D4" s="13" t="s">
        <v>515</v>
      </c>
      <c r="E4" s="13" t="s">
        <v>516</v>
      </c>
      <c r="F4" s="13" t="s">
        <v>517</v>
      </c>
      <c r="G4" s="13" t="s">
        <v>518</v>
      </c>
      <c r="H4" s="13" t="s">
        <v>519</v>
      </c>
      <c r="I4" s="13" t="s">
        <v>16</v>
      </c>
      <c r="J4" s="13" t="s">
        <v>520</v>
      </c>
      <c r="K4" s="13" t="s">
        <v>521</v>
      </c>
      <c r="L4" s="13" t="s">
        <v>522</v>
      </c>
      <c r="M4" s="13" t="s">
        <v>523</v>
      </c>
      <c r="N4" s="13" t="s">
        <v>519</v>
      </c>
      <c r="O4" s="13" t="s">
        <v>16</v>
      </c>
      <c r="P4" s="13" t="s">
        <v>520</v>
      </c>
      <c r="Q4" s="13" t="s">
        <v>521</v>
      </c>
      <c r="R4" s="13" t="s">
        <v>522</v>
      </c>
      <c r="S4" s="13" t="s">
        <v>523</v>
      </c>
    </row>
    <row r="5" spans="1:19" s="14" customFormat="1" ht="12" hidden="1" customHeight="1" x14ac:dyDescent="0.2">
      <c r="A5" s="109"/>
      <c r="B5" s="15"/>
      <c r="C5" t="s">
        <v>397</v>
      </c>
      <c r="D5" t="s">
        <v>401</v>
      </c>
      <c r="E5" t="s">
        <v>398</v>
      </c>
      <c r="F5" t="s">
        <v>399</v>
      </c>
      <c r="G5" t="s">
        <v>405</v>
      </c>
      <c r="H5" t="s">
        <v>402</v>
      </c>
      <c r="I5" t="s">
        <v>257</v>
      </c>
      <c r="J5" t="s">
        <v>258</v>
      </c>
      <c r="K5" t="s">
        <v>259</v>
      </c>
      <c r="L5" t="s">
        <v>260</v>
      </c>
      <c r="M5" t="s">
        <v>110</v>
      </c>
      <c r="N5" t="s">
        <v>261</v>
      </c>
      <c r="O5" t="s">
        <v>196</v>
      </c>
      <c r="P5" t="s">
        <v>262</v>
      </c>
      <c r="Q5" t="s">
        <v>421</v>
      </c>
      <c r="R5" t="s">
        <v>231</v>
      </c>
      <c r="S5" t="s">
        <v>109</v>
      </c>
    </row>
    <row r="6" spans="1:19" x14ac:dyDescent="0.2">
      <c r="A6" s="108">
        <v>2</v>
      </c>
      <c r="B6" s="2" t="s">
        <v>577</v>
      </c>
      <c r="C6" s="16">
        <v>7.3872090464805251E-2</v>
      </c>
      <c r="D6" s="16">
        <v>7.7124112445532064E-2</v>
      </c>
      <c r="E6" s="16">
        <v>7.9554925920263711E-2</v>
      </c>
      <c r="F6" s="16">
        <v>8.311545569626333E-2</v>
      </c>
      <c r="G6" s="16">
        <v>7.5022965697183225E-2</v>
      </c>
      <c r="H6" s="16">
        <v>7.2476760450375807E-2</v>
      </c>
      <c r="I6" s="16">
        <v>7.6644395446080926E-2</v>
      </c>
      <c r="J6" s="16">
        <v>9.3090804582643405E-2</v>
      </c>
      <c r="K6" s="16">
        <v>9.4580342933494641E-2</v>
      </c>
      <c r="L6" s="16">
        <v>8.9797870524780124E-2</v>
      </c>
      <c r="M6" s="16">
        <v>0.11620393775556044</v>
      </c>
      <c r="N6" s="16">
        <v>7.8135175726362707E-2</v>
      </c>
      <c r="O6" s="16">
        <v>9.1709495873539201E-2</v>
      </c>
      <c r="P6" s="16">
        <v>8.1195118495007712E-2</v>
      </c>
      <c r="Q6" s="16">
        <v>0.11822181871783237</v>
      </c>
      <c r="R6" s="16">
        <v>9.9066884630834948E-2</v>
      </c>
      <c r="S6" s="16">
        <v>0.10337743684485384</v>
      </c>
    </row>
    <row r="7" spans="1:19" x14ac:dyDescent="0.2">
      <c r="A7" s="108">
        <v>3</v>
      </c>
      <c r="B7" s="3" t="s">
        <v>327</v>
      </c>
      <c r="C7" s="16">
        <v>7.4819079843017722E-2</v>
      </c>
      <c r="D7" s="16">
        <v>7.6684326368914646E-2</v>
      </c>
      <c r="E7" s="16">
        <v>7.6206739715242694E-2</v>
      </c>
      <c r="F7" s="16">
        <v>7.2067937085936493E-2</v>
      </c>
      <c r="G7" s="16">
        <v>7.0757531310131225E-2</v>
      </c>
      <c r="H7" s="16">
        <v>6.6032099896090907E-2</v>
      </c>
      <c r="I7" s="16">
        <v>6.8334173136503654E-2</v>
      </c>
      <c r="J7" s="16">
        <v>6.690504588071701E-2</v>
      </c>
      <c r="K7" s="16">
        <v>7.8072521409717974E-2</v>
      </c>
      <c r="L7" s="16">
        <v>7.7556724512768793E-2</v>
      </c>
      <c r="M7" s="16">
        <v>7.1616768498697192E-2</v>
      </c>
      <c r="N7" s="16">
        <v>6.9355712968631508E-2</v>
      </c>
      <c r="O7" s="16">
        <v>7.4339744985168155E-2</v>
      </c>
      <c r="P7" s="16">
        <v>6.7085391576411246E-2</v>
      </c>
      <c r="Q7" s="16">
        <v>8.2764132054659073E-2</v>
      </c>
      <c r="R7" s="16">
        <v>7.0830443516934891E-2</v>
      </c>
      <c r="S7" s="16">
        <v>7.4408080370918797E-2</v>
      </c>
    </row>
    <row r="8" spans="1:19" x14ac:dyDescent="0.2">
      <c r="A8" s="108">
        <v>4</v>
      </c>
      <c r="B8" s="2" t="s">
        <v>29</v>
      </c>
      <c r="C8" s="16">
        <v>0.62383695177565002</v>
      </c>
      <c r="D8" s="16">
        <v>0.62755679643949469</v>
      </c>
      <c r="E8" s="16">
        <v>0.63098743106810384</v>
      </c>
      <c r="F8" s="16">
        <v>0.59470669168889667</v>
      </c>
      <c r="G8" s="16">
        <v>0.65030450780074434</v>
      </c>
      <c r="H8" s="16">
        <v>0.68269323975035912</v>
      </c>
      <c r="I8" s="16">
        <v>0.69853831259802901</v>
      </c>
      <c r="J8" s="16">
        <v>0.62547042214157378</v>
      </c>
      <c r="K8" s="16">
        <v>0.66238176851269004</v>
      </c>
      <c r="L8" s="16">
        <v>0.66751460555102071</v>
      </c>
      <c r="M8" s="16">
        <v>0.72029216933472195</v>
      </c>
      <c r="N8" s="16">
        <v>0.78825447896782175</v>
      </c>
      <c r="O8" s="16">
        <v>0.67504006434554298</v>
      </c>
      <c r="P8" s="16">
        <v>0.83314588421477898</v>
      </c>
      <c r="Q8" s="16">
        <v>0.65789196248931792</v>
      </c>
      <c r="R8" s="16">
        <v>0.59926606546057937</v>
      </c>
      <c r="S8" s="16">
        <v>0.52624684302590596</v>
      </c>
    </row>
    <row r="9" spans="1:19" x14ac:dyDescent="0.2">
      <c r="A9" s="108">
        <v>5</v>
      </c>
      <c r="B9" s="3" t="s">
        <v>60</v>
      </c>
      <c r="C9" s="16">
        <v>0.2602575272744504</v>
      </c>
      <c r="D9" s="16">
        <v>0.13925438725904665</v>
      </c>
      <c r="E9" s="16">
        <v>0.16102915684300914</v>
      </c>
      <c r="F9" s="16">
        <v>0.18964997098146477</v>
      </c>
      <c r="G9" s="16">
        <v>0.18060060649446463</v>
      </c>
      <c r="H9" s="16">
        <v>0.19010695308104758</v>
      </c>
      <c r="I9" s="16">
        <v>0.25255105236140457</v>
      </c>
      <c r="J9" s="16">
        <v>0.38822163404699794</v>
      </c>
      <c r="K9" s="16">
        <v>0.2664783224606333</v>
      </c>
      <c r="L9" s="16">
        <v>0.2795610591185177</v>
      </c>
      <c r="M9" s="16">
        <v>0.25924872698931017</v>
      </c>
      <c r="N9" s="16">
        <v>0.22289096115298068</v>
      </c>
      <c r="O9" s="16">
        <v>0.20598337842430989</v>
      </c>
      <c r="P9" s="16">
        <v>0.24326946931586058</v>
      </c>
      <c r="Q9" s="16">
        <v>0.27006903685017858</v>
      </c>
      <c r="R9" s="16">
        <v>0.21198967495505525</v>
      </c>
      <c r="S9" s="16">
        <v>0.23356796639705832</v>
      </c>
    </row>
    <row r="10" spans="1:19" x14ac:dyDescent="0.2">
      <c r="A10" s="108">
        <v>6</v>
      </c>
      <c r="B10" s="3" t="s">
        <v>61</v>
      </c>
      <c r="C10" s="16">
        <v>0.16039639334385189</v>
      </c>
      <c r="D10" s="16">
        <v>0.1264378144913246</v>
      </c>
      <c r="E10" s="16">
        <v>0.1167773062270199</v>
      </c>
      <c r="F10" s="16">
        <v>0.16865394893016014</v>
      </c>
      <c r="G10" s="16">
        <v>0.25144508324231124</v>
      </c>
      <c r="H10" s="16">
        <v>0.20842207962322437</v>
      </c>
      <c r="I10" s="16">
        <v>0.16033734525672078</v>
      </c>
      <c r="J10" s="16">
        <v>0.13791064984607437</v>
      </c>
      <c r="K10" s="16">
        <v>0.18671722173659142</v>
      </c>
      <c r="L10" s="16">
        <v>0.14010865710409418</v>
      </c>
      <c r="M10" s="16">
        <v>0.17432325526802295</v>
      </c>
      <c r="N10" s="16">
        <v>0.20096753966326608</v>
      </c>
      <c r="O10" s="16">
        <v>0.15062361628290721</v>
      </c>
      <c r="P10" s="16">
        <v>0.10774510229119516</v>
      </c>
      <c r="Q10" s="16">
        <v>0.19725444781142429</v>
      </c>
      <c r="R10" s="16">
        <v>0.26272368578573224</v>
      </c>
      <c r="S10" s="16">
        <v>0.14158772296512692</v>
      </c>
    </row>
    <row r="11" spans="1:19" x14ac:dyDescent="0.2">
      <c r="A11" s="108">
        <v>7</v>
      </c>
      <c r="B11" s="3" t="s">
        <v>425</v>
      </c>
      <c r="C11" s="16">
        <v>0.47524791543384687</v>
      </c>
      <c r="D11" s="16">
        <v>0.5422935164664241</v>
      </c>
      <c r="E11" s="16">
        <v>0.51515935705524352</v>
      </c>
      <c r="F11" s="16">
        <v>0.51312865042085032</v>
      </c>
      <c r="G11" s="16">
        <v>0.49961323617382614</v>
      </c>
      <c r="H11" s="16">
        <v>0.45260704856564615</v>
      </c>
      <c r="I11" s="16">
        <v>0.43980032981860673</v>
      </c>
      <c r="J11" s="16">
        <v>0.43361824727516968</v>
      </c>
      <c r="K11" s="16">
        <v>0.50028840712309675</v>
      </c>
      <c r="L11" s="16">
        <v>0.49392361974002752</v>
      </c>
      <c r="M11" s="16">
        <v>0.50689745008303644</v>
      </c>
      <c r="N11" s="16">
        <v>0.51016417909476486</v>
      </c>
      <c r="O11" s="16">
        <v>0.4360159414738593</v>
      </c>
      <c r="P11" s="16">
        <v>0.47897906395080925</v>
      </c>
      <c r="Q11" s="16">
        <v>0.4970238681335914</v>
      </c>
      <c r="R11" s="16">
        <v>0.51330353286568797</v>
      </c>
      <c r="S11" s="16">
        <v>0.55933962020578698</v>
      </c>
    </row>
    <row r="12" spans="1:19" x14ac:dyDescent="0.2">
      <c r="A12" s="108">
        <v>8</v>
      </c>
      <c r="B12" s="3" t="s">
        <v>324</v>
      </c>
      <c r="C12" s="16">
        <v>1.089287036346922</v>
      </c>
      <c r="D12" s="16">
        <v>0.85130735435602145</v>
      </c>
      <c r="E12" s="16">
        <v>1.035828349421777</v>
      </c>
      <c r="F12" s="16">
        <v>1.052757953432407</v>
      </c>
      <c r="G12" s="16">
        <v>0.98086431246020434</v>
      </c>
      <c r="H12" s="16">
        <v>1.0522642772138431</v>
      </c>
      <c r="I12" s="16">
        <v>1.0501492006680924</v>
      </c>
      <c r="J12" s="16">
        <v>1.1170713156304184</v>
      </c>
      <c r="K12" s="16">
        <v>0.90609095854224464</v>
      </c>
      <c r="L12" s="16">
        <v>0.85992869913028935</v>
      </c>
      <c r="M12" s="16">
        <v>0.83532454095728514</v>
      </c>
      <c r="N12" s="16">
        <v>0.98240315634651665</v>
      </c>
      <c r="O12" s="16">
        <v>1.0699680142396435</v>
      </c>
      <c r="P12" s="16">
        <v>1.0456013604099015</v>
      </c>
      <c r="Q12" s="16">
        <v>0.97710558789413793</v>
      </c>
      <c r="R12" s="16">
        <v>0.92229108592236198</v>
      </c>
      <c r="S12" s="16">
        <v>0.82969327572524609</v>
      </c>
    </row>
    <row r="13" spans="1:19" x14ac:dyDescent="0.2">
      <c r="A13" s="108">
        <v>9</v>
      </c>
      <c r="B13" s="3" t="s">
        <v>616</v>
      </c>
      <c r="C13" s="16">
        <v>0.57586404897817567</v>
      </c>
      <c r="D13" s="16">
        <v>0.50337260616757695</v>
      </c>
      <c r="E13" s="16">
        <v>0.56133253066400624</v>
      </c>
      <c r="F13" s="16">
        <v>0.51738153362737982</v>
      </c>
      <c r="G13" s="16">
        <v>0.42997701858830545</v>
      </c>
      <c r="H13" s="16">
        <v>0.55068246877388349</v>
      </c>
      <c r="I13" s="16">
        <v>0.46686510632792549</v>
      </c>
      <c r="J13" s="16">
        <v>0.48957602351205654</v>
      </c>
      <c r="K13" s="16">
        <v>0.42967642112274967</v>
      </c>
      <c r="L13" s="16">
        <v>0.38882728378223563</v>
      </c>
      <c r="M13" s="16">
        <v>0.3992598289287731</v>
      </c>
      <c r="N13" s="16">
        <v>0.39893478156076512</v>
      </c>
      <c r="O13" s="16">
        <v>0.51804057387256774</v>
      </c>
      <c r="P13" s="16">
        <v>0.44895046921438636</v>
      </c>
      <c r="Q13" s="16">
        <v>0.44895046921438636</v>
      </c>
      <c r="R13" s="16">
        <v>0.49586954276436879</v>
      </c>
      <c r="S13" s="16">
        <v>0.48086097637177216</v>
      </c>
    </row>
    <row r="14" spans="1:19" x14ac:dyDescent="0.2">
      <c r="A14" s="108">
        <v>10</v>
      </c>
      <c r="B14" s="3" t="s">
        <v>617</v>
      </c>
      <c r="C14" s="16">
        <v>1.1517855487164519</v>
      </c>
      <c r="D14" s="16">
        <v>1.1630719089154715</v>
      </c>
      <c r="E14" s="16">
        <v>1.1518559033239504</v>
      </c>
      <c r="F14" s="16">
        <v>1.2021256844475876</v>
      </c>
      <c r="G14" s="16">
        <v>1.2169850737261374</v>
      </c>
      <c r="H14" s="16">
        <v>1.204982327530979</v>
      </c>
      <c r="I14" s="16">
        <v>1.1605613228887475</v>
      </c>
      <c r="J14" s="16">
        <v>1.1158723751055437</v>
      </c>
      <c r="K14" s="16">
        <v>1.1678379241418677</v>
      </c>
      <c r="L14" s="16">
        <v>1.289052054618921</v>
      </c>
      <c r="M14" s="16">
        <v>1.225692445416356</v>
      </c>
      <c r="N14" s="16">
        <v>1.1536352818588342</v>
      </c>
      <c r="O14" s="16">
        <v>1.1081567210421741</v>
      </c>
      <c r="P14" s="16">
        <v>1.0147171816933593</v>
      </c>
      <c r="Q14" s="16">
        <v>1.1413559527896362</v>
      </c>
      <c r="R14" s="16">
        <v>1.2510529151652605</v>
      </c>
      <c r="S14" s="16">
        <v>1.1361305254224379</v>
      </c>
    </row>
    <row r="15" spans="1:19" x14ac:dyDescent="0.2">
      <c r="A15" s="108">
        <v>11</v>
      </c>
      <c r="B15" s="3" t="s">
        <v>562</v>
      </c>
      <c r="C15" s="16">
        <v>0.54864890125604104</v>
      </c>
      <c r="D15" s="16">
        <v>0.54956931152650224</v>
      </c>
      <c r="E15" s="16">
        <v>0.58211190487704012</v>
      </c>
      <c r="F15" s="16">
        <v>0.56378443451229621</v>
      </c>
      <c r="G15" s="16">
        <v>0.55038109766768806</v>
      </c>
      <c r="H15" s="16">
        <v>0.60318227508826494</v>
      </c>
      <c r="I15" s="16">
        <v>0.53591035546962118</v>
      </c>
      <c r="J15" s="16">
        <v>0.53877267873256063</v>
      </c>
      <c r="K15" s="16">
        <v>0.53877267873256063</v>
      </c>
      <c r="L15" s="16">
        <v>0.55980414784713195</v>
      </c>
      <c r="M15" s="16">
        <v>0.57104372764656963</v>
      </c>
      <c r="N15" s="16">
        <v>0.52375230982366927</v>
      </c>
      <c r="O15" s="16">
        <v>0.50293856350777899</v>
      </c>
      <c r="P15" s="16">
        <v>0.60318227508826494</v>
      </c>
      <c r="Q15" s="16">
        <v>0.55599050688281193</v>
      </c>
      <c r="R15" s="16">
        <v>0.60318227508826494</v>
      </c>
      <c r="S15" s="16">
        <v>0.5265544085850582</v>
      </c>
    </row>
    <row r="16" spans="1:19" x14ac:dyDescent="0.2">
      <c r="A16" s="108">
        <v>12</v>
      </c>
      <c r="B16" s="3" t="s">
        <v>571</v>
      </c>
      <c r="C16" s="16">
        <v>1.7232588965653692</v>
      </c>
      <c r="D16" s="16">
        <v>0.9131799439618703</v>
      </c>
      <c r="E16" s="16">
        <v>1.0613373443845191</v>
      </c>
      <c r="F16" s="16">
        <v>1.2586161523681658</v>
      </c>
      <c r="G16" s="16">
        <v>0.99213306029362114</v>
      </c>
      <c r="H16" s="16">
        <v>0.89897994591737951</v>
      </c>
      <c r="I16" s="16">
        <v>1.3414159320997654</v>
      </c>
      <c r="J16" s="16">
        <v>0.69084847807021821</v>
      </c>
      <c r="K16" s="16">
        <v>1.1111119914079277</v>
      </c>
      <c r="L16" s="16">
        <v>1.0582410149545063</v>
      </c>
      <c r="M16" s="16">
        <v>1.263950357328999</v>
      </c>
      <c r="N16" s="16">
        <v>1.1129812535180823</v>
      </c>
      <c r="O16" s="16">
        <v>1.1474537049698617</v>
      </c>
      <c r="P16" s="16">
        <v>1.4082664738860047</v>
      </c>
      <c r="Q16" s="16">
        <v>1.0941906227653273</v>
      </c>
      <c r="R16" s="16">
        <v>0.9961892774729445</v>
      </c>
      <c r="S16" s="16">
        <v>1.0931853253218231</v>
      </c>
    </row>
    <row r="17" spans="1:19" x14ac:dyDescent="0.2">
      <c r="A17" s="108">
        <v>13</v>
      </c>
      <c r="B17" s="3" t="s">
        <v>450</v>
      </c>
      <c r="C17" s="16">
        <v>0.33495856031364996</v>
      </c>
      <c r="D17" s="16">
        <v>0.33495856031364996</v>
      </c>
      <c r="E17" s="16">
        <v>0.148420058067601</v>
      </c>
      <c r="F17" s="16">
        <v>0.21415657398598711</v>
      </c>
      <c r="G17" s="16">
        <v>0.21415657398598711</v>
      </c>
      <c r="H17" s="16">
        <v>0.33495856031364996</v>
      </c>
      <c r="I17" s="16">
        <v>0.33495856031364996</v>
      </c>
      <c r="J17" s="16">
        <v>0.59900347726515724</v>
      </c>
      <c r="K17" s="16">
        <v>0.31970702378922644</v>
      </c>
      <c r="L17" s="16">
        <v>0.29168045639800583</v>
      </c>
      <c r="M17" s="16">
        <v>0.45829399632976608</v>
      </c>
      <c r="N17" s="16">
        <v>0.33495856031364996</v>
      </c>
      <c r="O17" s="16">
        <v>0.33495856031364996</v>
      </c>
      <c r="P17" s="16">
        <v>0.33495856031364996</v>
      </c>
      <c r="Q17" s="16">
        <v>0.33495856031364996</v>
      </c>
      <c r="R17" s="16">
        <v>0.38842657010563364</v>
      </c>
      <c r="S17" s="16">
        <v>0.31751006138181215</v>
      </c>
    </row>
    <row r="18" spans="1:19" x14ac:dyDescent="0.2">
      <c r="A18" s="108">
        <v>14</v>
      </c>
      <c r="B18" s="3" t="s">
        <v>451</v>
      </c>
      <c r="C18" s="16">
        <v>1.2090063906208375</v>
      </c>
      <c r="D18" s="16">
        <v>1.2029988227776314</v>
      </c>
      <c r="E18" s="16">
        <v>0.8901205174536958</v>
      </c>
      <c r="F18" s="16">
        <v>2.2132683237694701</v>
      </c>
      <c r="G18" s="16">
        <v>1.632394567449172</v>
      </c>
      <c r="H18" s="16">
        <v>1.1364944977766931</v>
      </c>
      <c r="I18" s="16">
        <v>1.6168111742120377</v>
      </c>
      <c r="J18" s="16">
        <v>1.7444468687354608</v>
      </c>
      <c r="K18" s="16">
        <v>1.5389149403835356</v>
      </c>
      <c r="L18" s="16">
        <v>1.3590741695092146</v>
      </c>
      <c r="M18" s="16">
        <v>1.4680188009046065</v>
      </c>
      <c r="N18" s="16">
        <v>1.6398582594033939</v>
      </c>
      <c r="O18" s="16">
        <v>1.6398582594033939</v>
      </c>
      <c r="P18" s="16">
        <v>1.6398582594033939</v>
      </c>
      <c r="Q18" s="16">
        <v>1.6398582594033939</v>
      </c>
      <c r="R18" s="16">
        <v>1.5315696457584247</v>
      </c>
      <c r="S18" s="16">
        <v>1.1614698907543637</v>
      </c>
    </row>
    <row r="19" spans="1:19" x14ac:dyDescent="0.2">
      <c r="A19" s="108">
        <v>15</v>
      </c>
      <c r="B19" s="3" t="s">
        <v>452</v>
      </c>
      <c r="C19" s="16">
        <v>0.39481863941079992</v>
      </c>
      <c r="D19" s="16">
        <v>0.37734346572177896</v>
      </c>
      <c r="E19" s="16">
        <v>0.37357160912585996</v>
      </c>
      <c r="F19" s="16">
        <v>0.37422164660045532</v>
      </c>
      <c r="G19" s="16">
        <v>0.37445778930921497</v>
      </c>
      <c r="H19" s="16">
        <v>0.39144209555787024</v>
      </c>
      <c r="I19" s="16">
        <v>0.39038882072835757</v>
      </c>
      <c r="J19" s="16">
        <v>0.39726916384160815</v>
      </c>
      <c r="K19" s="16">
        <v>0.34350351207224383</v>
      </c>
      <c r="L19" s="16">
        <v>0.36835501656088865</v>
      </c>
      <c r="M19" s="16">
        <v>0.3933560861951218</v>
      </c>
      <c r="N19" s="16">
        <v>0.37442689707210108</v>
      </c>
      <c r="O19" s="16">
        <v>0.35984433681083933</v>
      </c>
      <c r="P19" s="16">
        <v>0.3509934585598149</v>
      </c>
      <c r="Q19" s="16">
        <v>0.35988672664727106</v>
      </c>
      <c r="R19" s="16">
        <v>0.35821011880302156</v>
      </c>
      <c r="S19" s="16">
        <v>0.37342576002698452</v>
      </c>
    </row>
    <row r="20" spans="1:19" x14ac:dyDescent="0.2">
      <c r="A20" s="108">
        <v>16</v>
      </c>
      <c r="B20" s="3" t="s">
        <v>453</v>
      </c>
      <c r="C20" s="16">
        <v>0.57058008017383433</v>
      </c>
      <c r="D20" s="16">
        <v>0.56385986957043421</v>
      </c>
      <c r="E20" s="16">
        <v>0.52143118774034425</v>
      </c>
      <c r="F20" s="16">
        <v>0.61808739063390983</v>
      </c>
      <c r="G20" s="16">
        <v>0.61287495981539264</v>
      </c>
      <c r="H20" s="16">
        <v>0.62458069977833652</v>
      </c>
      <c r="I20" s="16">
        <v>0.59683655995104901</v>
      </c>
      <c r="J20" s="16">
        <v>0.73743730216468384</v>
      </c>
      <c r="K20" s="16">
        <v>0.62811816934394049</v>
      </c>
      <c r="L20" s="16">
        <v>0.7005018648229554</v>
      </c>
      <c r="M20" s="16">
        <v>0.65118872619207135</v>
      </c>
      <c r="N20" s="16">
        <v>0.55155573747752462</v>
      </c>
      <c r="O20" s="16">
        <v>0.66681022360856301</v>
      </c>
      <c r="P20" s="16">
        <v>0.58294034578294474</v>
      </c>
      <c r="Q20" s="16">
        <v>0.56863002431601573</v>
      </c>
      <c r="R20" s="16">
        <v>0.57992576667085627</v>
      </c>
      <c r="S20" s="16">
        <v>0.55533761021096606</v>
      </c>
    </row>
    <row r="21" spans="1:19" x14ac:dyDescent="0.2">
      <c r="A21" s="108">
        <v>17</v>
      </c>
      <c r="B21" s="3" t="s">
        <v>445</v>
      </c>
      <c r="C21" s="16">
        <v>0.18516993934085094</v>
      </c>
      <c r="D21" s="16">
        <v>0.18516993934085094</v>
      </c>
      <c r="E21" s="16">
        <v>0.36287497749223518</v>
      </c>
      <c r="F21" s="16">
        <v>0.36287497749223518</v>
      </c>
      <c r="G21" s="16">
        <v>0.36287497749223518</v>
      </c>
      <c r="H21" s="16">
        <v>0.41447576297366773</v>
      </c>
      <c r="I21" s="16">
        <v>0.41447576297366773</v>
      </c>
      <c r="J21" s="16">
        <v>0.35546618268973623</v>
      </c>
      <c r="K21" s="16">
        <v>0.35546618268973623</v>
      </c>
      <c r="L21" s="16">
        <v>0.35546618268973623</v>
      </c>
      <c r="M21" s="16">
        <v>0.41447576297366778</v>
      </c>
      <c r="N21" s="16">
        <v>0.17392392161093678</v>
      </c>
      <c r="O21" s="16">
        <v>0.17392392161093678</v>
      </c>
      <c r="P21" s="16">
        <v>0.18082927693940778</v>
      </c>
      <c r="Q21" s="16">
        <v>0.39555602900823134</v>
      </c>
      <c r="R21" s="16">
        <v>0.3806152536923168</v>
      </c>
      <c r="S21" s="16">
        <v>0.3806152536923168</v>
      </c>
    </row>
    <row r="22" spans="1:19" x14ac:dyDescent="0.2">
      <c r="A22" s="108">
        <v>18</v>
      </c>
      <c r="B22" s="3" t="s">
        <v>446</v>
      </c>
      <c r="C22" s="16">
        <v>0.80777386929286321</v>
      </c>
      <c r="D22" s="16">
        <v>0.87268876777213389</v>
      </c>
      <c r="E22" s="16">
        <v>0.93238376915476506</v>
      </c>
      <c r="F22" s="16">
        <v>1.0114963454778074</v>
      </c>
      <c r="G22" s="16">
        <v>0.87933019362077613</v>
      </c>
      <c r="H22" s="16">
        <v>0.99534647784363384</v>
      </c>
      <c r="I22" s="16">
        <v>0.67428635253321934</v>
      </c>
      <c r="J22" s="16">
        <v>1.0539544693248724</v>
      </c>
      <c r="K22" s="16">
        <v>0.76967667057995792</v>
      </c>
      <c r="L22" s="16">
        <v>0.54049776102736136</v>
      </c>
      <c r="M22" s="16">
        <v>0.89735017272920492</v>
      </c>
      <c r="N22" s="16">
        <v>0.86619721163166796</v>
      </c>
      <c r="O22" s="16">
        <v>1.0243208876538483</v>
      </c>
      <c r="P22" s="16">
        <v>0.90093130986682057</v>
      </c>
      <c r="Q22" s="16">
        <v>0.75502663563755845</v>
      </c>
      <c r="R22" s="16">
        <v>0.60135274356297153</v>
      </c>
      <c r="S22" s="16">
        <v>0.64563050519165999</v>
      </c>
    </row>
    <row r="23" spans="1:19" x14ac:dyDescent="0.2">
      <c r="A23" s="108">
        <v>19</v>
      </c>
      <c r="B23" s="2" t="s">
        <v>578</v>
      </c>
      <c r="C23" s="16">
        <v>0.45781756999870149</v>
      </c>
      <c r="D23" s="16">
        <v>0.41426308721049898</v>
      </c>
      <c r="E23" s="16">
        <v>0.40006736373311996</v>
      </c>
      <c r="F23" s="16">
        <v>0.45256565208073007</v>
      </c>
      <c r="G23" s="16">
        <v>0.43364552110837473</v>
      </c>
      <c r="H23" s="16">
        <v>0.41151742619032605</v>
      </c>
      <c r="I23" s="16">
        <v>0.45147755795344063</v>
      </c>
      <c r="J23" s="16">
        <v>0.40904358622166392</v>
      </c>
      <c r="K23" s="16">
        <v>0.47904571668571144</v>
      </c>
      <c r="L23" s="16">
        <v>0.48951732181473673</v>
      </c>
      <c r="M23" s="16">
        <v>0.47964953658971027</v>
      </c>
      <c r="N23" s="16">
        <v>0.4779185967039899</v>
      </c>
      <c r="O23" s="16">
        <v>0.45390528341756314</v>
      </c>
      <c r="P23" s="16">
        <v>0.39835207062652311</v>
      </c>
      <c r="Q23" s="16">
        <v>0.46783427431963232</v>
      </c>
      <c r="R23" s="16">
        <v>0.47983185127286837</v>
      </c>
      <c r="S23" s="16">
        <v>0.42010115950609972</v>
      </c>
    </row>
    <row r="24" spans="1:19" x14ac:dyDescent="0.2">
      <c r="A24" s="108">
        <v>20</v>
      </c>
      <c r="B24" s="3" t="s">
        <v>447</v>
      </c>
      <c r="C24" s="16">
        <v>0.47091480084763959</v>
      </c>
      <c r="D24" s="16">
        <v>0.47910434439506439</v>
      </c>
      <c r="E24" s="16">
        <v>0.52884430326057597</v>
      </c>
      <c r="F24" s="16">
        <v>0.52938792608130703</v>
      </c>
      <c r="G24" s="16">
        <v>0.63551041498251759</v>
      </c>
      <c r="H24" s="16">
        <v>0.51888949273413376</v>
      </c>
      <c r="I24" s="16">
        <v>0.62487870712853399</v>
      </c>
      <c r="J24" s="16">
        <v>0.65973044722028606</v>
      </c>
      <c r="K24" s="16">
        <v>0.63753917975189378</v>
      </c>
      <c r="L24" s="16">
        <v>0.81187585467101631</v>
      </c>
      <c r="M24" s="16">
        <v>0.82531302744061141</v>
      </c>
      <c r="N24" s="16">
        <v>0.59984886771454127</v>
      </c>
      <c r="O24" s="16">
        <v>0.62269722486754231</v>
      </c>
      <c r="P24" s="16">
        <v>0.40235763768505878</v>
      </c>
      <c r="Q24" s="16">
        <v>0.61510043026225003</v>
      </c>
      <c r="R24" s="16">
        <v>0.60857760435979336</v>
      </c>
      <c r="S24" s="16">
        <v>0.80323276928429055</v>
      </c>
    </row>
    <row r="25" spans="1:19" x14ac:dyDescent="0.2">
      <c r="A25" s="108">
        <v>21</v>
      </c>
      <c r="B25" s="2" t="s">
        <v>579</v>
      </c>
      <c r="C25" s="16">
        <v>0.19193450124383715</v>
      </c>
      <c r="D25" s="16">
        <v>0.21403088261282607</v>
      </c>
      <c r="E25" s="16">
        <v>0.19445208542167397</v>
      </c>
      <c r="F25" s="16">
        <v>0.21105643619742465</v>
      </c>
      <c r="G25" s="16">
        <v>0.21089430535109271</v>
      </c>
      <c r="H25" s="16">
        <v>0.24592756543904898</v>
      </c>
      <c r="I25" s="16">
        <v>0.19522614049234405</v>
      </c>
      <c r="J25" s="16">
        <v>0.21284410617570773</v>
      </c>
      <c r="K25" s="16">
        <v>0.20009482326805145</v>
      </c>
      <c r="L25" s="16">
        <v>0.20466464490418429</v>
      </c>
      <c r="M25" s="16">
        <v>0.18984757816382269</v>
      </c>
      <c r="N25" s="16">
        <v>0.19031383455521042</v>
      </c>
      <c r="O25" s="16">
        <v>0.19714777365243968</v>
      </c>
      <c r="P25" s="16">
        <v>0.43484780592322886</v>
      </c>
      <c r="Q25" s="16">
        <v>0.21878463120888331</v>
      </c>
      <c r="R25" s="16">
        <v>0.21904318731233854</v>
      </c>
      <c r="S25" s="16">
        <v>0.19057591345066416</v>
      </c>
    </row>
    <row r="26" spans="1:19" x14ac:dyDescent="0.2">
      <c r="A26" s="108">
        <v>22</v>
      </c>
      <c r="B26" s="2" t="s">
        <v>580</v>
      </c>
      <c r="C26" s="16">
        <v>0.35693939265978725</v>
      </c>
      <c r="D26" s="16">
        <v>0.38809400533609284</v>
      </c>
      <c r="E26" s="16">
        <v>0.35168681600667823</v>
      </c>
      <c r="F26" s="16">
        <v>0.43246294580505634</v>
      </c>
      <c r="G26" s="16">
        <v>0.49009854971762878</v>
      </c>
      <c r="H26" s="16">
        <v>0.43612381898996661</v>
      </c>
      <c r="I26" s="16">
        <v>0.46177613960855374</v>
      </c>
      <c r="J26" s="16">
        <v>0.5297690999182687</v>
      </c>
      <c r="K26" s="16">
        <v>0.48938033196420055</v>
      </c>
      <c r="L26" s="16">
        <v>0.43415803726146579</v>
      </c>
      <c r="M26" s="16">
        <v>0.46853846230156182</v>
      </c>
      <c r="N26" s="16">
        <v>0.43790545159598304</v>
      </c>
      <c r="O26" s="16">
        <v>0.44192148352708499</v>
      </c>
      <c r="P26" s="16">
        <v>0.61953335264809162</v>
      </c>
      <c r="Q26" s="16">
        <v>0.47580608614245973</v>
      </c>
      <c r="R26" s="16">
        <v>0.38398821875554207</v>
      </c>
      <c r="S26" s="16">
        <v>0.360674396994352</v>
      </c>
    </row>
    <row r="27" spans="1:19" x14ac:dyDescent="0.2">
      <c r="A27" s="108">
        <v>23</v>
      </c>
      <c r="B27" s="3" t="s">
        <v>178</v>
      </c>
      <c r="C27" s="16">
        <v>3.1937707671088726</v>
      </c>
      <c r="D27" s="16">
        <v>3.726969029024767</v>
      </c>
      <c r="E27" s="16">
        <v>2.8305763990228332</v>
      </c>
      <c r="F27" s="16">
        <v>3.3811507024851051</v>
      </c>
      <c r="G27" s="16">
        <v>2.1963673469292444</v>
      </c>
      <c r="H27" s="16">
        <v>1.8798066602077284</v>
      </c>
      <c r="I27" s="16">
        <v>1.4602995766998663</v>
      </c>
      <c r="J27" s="16">
        <v>2.9166485945416634</v>
      </c>
      <c r="K27" s="16">
        <v>3.3671544342980102</v>
      </c>
      <c r="L27" s="16">
        <v>2.9062018092862401</v>
      </c>
      <c r="M27" s="16">
        <v>2.0416978076698711</v>
      </c>
      <c r="N27" s="16">
        <v>2.6911429849409125</v>
      </c>
      <c r="O27" s="16">
        <v>2.413374203832507</v>
      </c>
      <c r="P27" s="16">
        <v>7.764456431425609</v>
      </c>
      <c r="Q27" s="16">
        <v>2.7560644643361774</v>
      </c>
      <c r="R27" s="16">
        <v>1.5799903887962867</v>
      </c>
      <c r="S27" s="16">
        <v>1.3504189638114983</v>
      </c>
    </row>
    <row r="28" spans="1:19" x14ac:dyDescent="0.2">
      <c r="A28" s="108">
        <v>24</v>
      </c>
      <c r="B28" s="2" t="s">
        <v>581</v>
      </c>
      <c r="C28" s="16">
        <v>0.14678742113999849</v>
      </c>
      <c r="D28" s="16">
        <v>0.13449288616493674</v>
      </c>
      <c r="E28" s="16">
        <v>0.10932487315857296</v>
      </c>
      <c r="F28" s="16">
        <v>0.11988124588009944</v>
      </c>
      <c r="G28" s="16">
        <v>0.12519579104471462</v>
      </c>
      <c r="H28" s="16">
        <v>0.17070191852438169</v>
      </c>
      <c r="I28" s="16">
        <v>0.1437116210805568</v>
      </c>
      <c r="J28" s="16">
        <v>0.42123679735840064</v>
      </c>
      <c r="K28" s="16">
        <v>0.1841907735678702</v>
      </c>
      <c r="L28" s="16">
        <v>0.1174530408602649</v>
      </c>
      <c r="M28" s="16">
        <v>0.33139417768066076</v>
      </c>
      <c r="N28" s="16">
        <v>0.1353896635770615</v>
      </c>
      <c r="O28" s="16">
        <v>0.19719421115427366</v>
      </c>
      <c r="P28" s="16">
        <v>0.10009526345137733</v>
      </c>
      <c r="Q28" s="16">
        <v>0.15613867014666893</v>
      </c>
      <c r="R28" s="16">
        <v>0.17481011180550593</v>
      </c>
      <c r="S28" s="16">
        <v>0.11924124580240436</v>
      </c>
    </row>
    <row r="29" spans="1:19" x14ac:dyDescent="0.2">
      <c r="A29" s="108">
        <v>25</v>
      </c>
      <c r="B29" s="2" t="s">
        <v>15</v>
      </c>
      <c r="C29" s="16">
        <v>0.36635078928029247</v>
      </c>
      <c r="D29" s="16">
        <v>0.38712316568564026</v>
      </c>
      <c r="E29" s="16">
        <v>0.40405013381373839</v>
      </c>
      <c r="F29" s="16">
        <v>0.44115920847324125</v>
      </c>
      <c r="G29" s="16">
        <v>0.39991956270007634</v>
      </c>
      <c r="H29" s="16">
        <v>0.43352486357552666</v>
      </c>
      <c r="I29" s="16">
        <v>0.3936028892849</v>
      </c>
      <c r="J29" s="16">
        <v>0.3988832776129802</v>
      </c>
      <c r="K29" s="16">
        <v>0.68190660760962385</v>
      </c>
      <c r="L29" s="16">
        <v>0.46085202456282021</v>
      </c>
      <c r="M29" s="16">
        <v>0.52442555572162153</v>
      </c>
      <c r="N29" s="16">
        <v>0.41699854902751776</v>
      </c>
      <c r="O29" s="16">
        <v>0.49525765774095554</v>
      </c>
      <c r="P29" s="16">
        <v>0.72537054171692805</v>
      </c>
      <c r="Q29" s="16">
        <v>0.64523336879982107</v>
      </c>
      <c r="R29" s="16">
        <v>0.4215868198497188</v>
      </c>
      <c r="S29" s="16">
        <v>0.43530497818054004</v>
      </c>
    </row>
    <row r="30" spans="1:19" x14ac:dyDescent="0.2">
      <c r="A30" s="108">
        <v>26</v>
      </c>
      <c r="B30" s="3" t="s">
        <v>406</v>
      </c>
      <c r="C30" s="16">
        <v>0.21860769146376655</v>
      </c>
      <c r="D30" s="16">
        <v>0.21860769146376655</v>
      </c>
      <c r="E30" s="16">
        <v>0.21860769146376655</v>
      </c>
      <c r="F30" s="16">
        <v>0.23070222654289388</v>
      </c>
      <c r="G30" s="16">
        <v>0.22114159786638221</v>
      </c>
      <c r="H30" s="16">
        <v>0.21228482190291498</v>
      </c>
      <c r="I30" s="16">
        <v>0.21228482190291498</v>
      </c>
      <c r="J30" s="16">
        <v>0.21228482190291501</v>
      </c>
      <c r="K30" s="16">
        <v>0.22803099901017401</v>
      </c>
      <c r="L30" s="16">
        <v>0.21718889598466029</v>
      </c>
      <c r="M30" s="16">
        <v>0.25822966283410848</v>
      </c>
      <c r="N30" s="16">
        <v>0.23070222654289391</v>
      </c>
      <c r="O30" s="16">
        <v>0.21406239315053988</v>
      </c>
      <c r="P30" s="16">
        <v>0.1505963653468177</v>
      </c>
      <c r="Q30" s="16">
        <v>0.1505963653468177</v>
      </c>
      <c r="R30" s="16">
        <v>0.30094954590738715</v>
      </c>
      <c r="S30" s="16">
        <v>0.22858762830149593</v>
      </c>
    </row>
    <row r="31" spans="1:19" x14ac:dyDescent="0.2">
      <c r="A31" s="108">
        <v>27</v>
      </c>
      <c r="B31" s="3" t="s">
        <v>407</v>
      </c>
      <c r="C31" s="16">
        <v>0.21373293448958161</v>
      </c>
      <c r="D31" s="16">
        <v>0.26253224131109537</v>
      </c>
      <c r="E31" s="16">
        <v>0.20691429193898103</v>
      </c>
      <c r="F31" s="16">
        <v>0.22289431346394356</v>
      </c>
      <c r="G31" s="16">
        <v>0.2532503440743058</v>
      </c>
      <c r="H31" s="16">
        <v>0.18219684660957966</v>
      </c>
      <c r="I31" s="16">
        <v>0.20252877133397029</v>
      </c>
      <c r="J31" s="16">
        <v>0.22957380626774784</v>
      </c>
      <c r="K31" s="16">
        <v>0.21042646749563831</v>
      </c>
      <c r="L31" s="16">
        <v>0.22036175821590856</v>
      </c>
      <c r="M31" s="16">
        <v>0.23417180653285163</v>
      </c>
      <c r="N31" s="16">
        <v>0.20468011145732271</v>
      </c>
      <c r="O31" s="16">
        <v>0.22081721267377971</v>
      </c>
      <c r="P31" s="16">
        <v>0.26860447018156086</v>
      </c>
      <c r="Q31" s="16">
        <v>0.20557530754245457</v>
      </c>
      <c r="R31" s="16">
        <v>0.24366673109756212</v>
      </c>
      <c r="S31" s="16">
        <v>0.2409509369811576</v>
      </c>
    </row>
    <row r="32" spans="1:19" x14ac:dyDescent="0.2">
      <c r="A32" s="108">
        <v>28</v>
      </c>
      <c r="B32" s="3" t="s">
        <v>619</v>
      </c>
      <c r="C32" s="16">
        <v>0.35548933177403813</v>
      </c>
      <c r="D32" s="16">
        <v>0.43527440714133564</v>
      </c>
      <c r="E32" s="16">
        <v>0.36106187009399404</v>
      </c>
      <c r="F32" s="16">
        <v>0.44283449027089505</v>
      </c>
      <c r="G32" s="16">
        <v>0.42990451360834647</v>
      </c>
      <c r="H32" s="16">
        <v>0.48787839082443712</v>
      </c>
      <c r="I32" s="16">
        <v>0.4869019355831774</v>
      </c>
      <c r="J32" s="16">
        <v>0.26407660550851636</v>
      </c>
      <c r="K32" s="16">
        <v>0.29666071070343991</v>
      </c>
      <c r="L32" s="16">
        <v>0.25322544181858064</v>
      </c>
      <c r="M32" s="16">
        <v>0.15615144306169471</v>
      </c>
      <c r="N32" s="16">
        <v>0.50321993655818631</v>
      </c>
      <c r="O32" s="16">
        <v>0.3890308942092478</v>
      </c>
      <c r="P32" s="16">
        <v>0.40054818963331151</v>
      </c>
      <c r="Q32" s="16">
        <v>0.36388900902469407</v>
      </c>
      <c r="R32" s="16">
        <v>0.20421392028725216</v>
      </c>
      <c r="S32" s="16">
        <v>0.21093972674112002</v>
      </c>
    </row>
    <row r="33" spans="1:19" x14ac:dyDescent="0.2">
      <c r="A33" s="108">
        <v>29</v>
      </c>
      <c r="B33" s="3" t="s">
        <v>62</v>
      </c>
      <c r="C33" s="16">
        <v>0.50988465359362611</v>
      </c>
      <c r="D33" s="16">
        <v>0.45929771614848441</v>
      </c>
      <c r="E33" s="16">
        <v>0.34927013131186796</v>
      </c>
      <c r="F33" s="16">
        <v>0.35359398228025163</v>
      </c>
      <c r="G33" s="16">
        <v>0.18590868577173889</v>
      </c>
      <c r="H33" s="16">
        <v>9.9353242058136448E-2</v>
      </c>
      <c r="I33" s="16">
        <v>0.63076582232815304</v>
      </c>
      <c r="J33" s="16">
        <v>0.71103251909482335</v>
      </c>
      <c r="K33" s="16">
        <v>0.19388003272999771</v>
      </c>
      <c r="L33" s="16">
        <v>0.28715698039251358</v>
      </c>
      <c r="M33" s="16">
        <v>0.20849432932173795</v>
      </c>
      <c r="N33" s="16">
        <v>0.43425106443926059</v>
      </c>
      <c r="O33" s="16">
        <v>0.38008803574546512</v>
      </c>
      <c r="P33" s="16">
        <v>0.89395641237333823</v>
      </c>
      <c r="Q33" s="16">
        <v>0.63250462549395325</v>
      </c>
      <c r="R33" s="16">
        <v>0.20433128418513558</v>
      </c>
      <c r="S33" s="16">
        <v>0.15836665305978351</v>
      </c>
    </row>
    <row r="34" spans="1:19" x14ac:dyDescent="0.2">
      <c r="A34" s="108">
        <v>30</v>
      </c>
      <c r="B34" s="3" t="s">
        <v>181</v>
      </c>
      <c r="C34" s="16">
        <v>0.17659674432884409</v>
      </c>
      <c r="D34" s="16">
        <v>0.41785252923713595</v>
      </c>
      <c r="E34" s="16">
        <v>0.41199602477222091</v>
      </c>
      <c r="F34" s="16">
        <v>0.2211235396551596</v>
      </c>
      <c r="G34" s="16">
        <v>0.43166561755631855</v>
      </c>
      <c r="H34" s="16">
        <v>0.54789034466854714</v>
      </c>
      <c r="I34" s="16">
        <v>0.49836816895323266</v>
      </c>
      <c r="J34" s="16">
        <v>0.61122648388639167</v>
      </c>
      <c r="K34" s="16">
        <v>0.40747015305163425</v>
      </c>
      <c r="L34" s="16">
        <v>0.33641595853488193</v>
      </c>
      <c r="M34" s="16">
        <v>0.35398774893563284</v>
      </c>
      <c r="N34" s="16">
        <v>0.47112504913360082</v>
      </c>
      <c r="O34" s="16">
        <v>0.23390998066181073</v>
      </c>
      <c r="P34" s="16">
        <v>0.47747686796001693</v>
      </c>
      <c r="Q34" s="16">
        <v>0.23812421537211828</v>
      </c>
      <c r="R34" s="16">
        <v>0.27422185732867416</v>
      </c>
      <c r="S34" s="16">
        <v>0.36246523560932947</v>
      </c>
    </row>
    <row r="35" spans="1:19" x14ac:dyDescent="0.2">
      <c r="A35" s="108">
        <v>31</v>
      </c>
      <c r="B35" s="3" t="s">
        <v>566</v>
      </c>
      <c r="C35" s="16">
        <v>7.8118537256907414E-2</v>
      </c>
      <c r="D35" s="16">
        <v>8.0216045040401834E-2</v>
      </c>
      <c r="E35" s="16">
        <v>7.81185372569074E-2</v>
      </c>
      <c r="F35" s="16">
        <v>7.81185372569074E-2</v>
      </c>
      <c r="G35" s="16">
        <v>7.81185372569074E-2</v>
      </c>
      <c r="H35" s="16">
        <v>8.010199294285289E-2</v>
      </c>
      <c r="I35" s="16">
        <v>8.010199294285289E-2</v>
      </c>
      <c r="J35" s="16">
        <v>7.843566389240704E-2</v>
      </c>
      <c r="K35" s="16">
        <v>7.843566389240704E-2</v>
      </c>
      <c r="L35" s="16">
        <v>7.843566389240704E-2</v>
      </c>
      <c r="M35" s="16">
        <v>7.843566389240704E-2</v>
      </c>
      <c r="N35" s="16">
        <v>0.16783459771690679</v>
      </c>
      <c r="O35" s="16">
        <v>0.16783459771690679</v>
      </c>
      <c r="P35" s="16">
        <v>7.8118537256907428E-2</v>
      </c>
      <c r="Q35" s="16">
        <v>7.8118537256907428E-2</v>
      </c>
      <c r="R35" s="16">
        <v>7.8955696008799259E-2</v>
      </c>
      <c r="S35" s="16">
        <v>7.8118537256907414E-2</v>
      </c>
    </row>
    <row r="36" spans="1:19" x14ac:dyDescent="0.2">
      <c r="A36" s="108">
        <v>32</v>
      </c>
      <c r="B36" s="3" t="s">
        <v>567</v>
      </c>
      <c r="C36" s="16">
        <v>5.0899169140970944E-2</v>
      </c>
      <c r="D36" s="16">
        <v>9.6078548586170043E-2</v>
      </c>
      <c r="E36" s="16">
        <v>5.3522846511689141E-2</v>
      </c>
      <c r="F36" s="16">
        <v>4.3900341010527553E-2</v>
      </c>
      <c r="G36" s="16">
        <v>4.9765241989844687E-2</v>
      </c>
      <c r="H36" s="16">
        <v>4.2054820436655781E-2</v>
      </c>
      <c r="I36" s="16">
        <v>4.4853196621617242E-2</v>
      </c>
      <c r="J36" s="16">
        <v>5.2625953800425875E-2</v>
      </c>
      <c r="K36" s="16">
        <v>5.4912362630258643E-2</v>
      </c>
      <c r="L36" s="16">
        <v>5.1162672006593246E-2</v>
      </c>
      <c r="M36" s="16">
        <v>5.5898630147418686E-2</v>
      </c>
      <c r="N36" s="16">
        <v>4.9905113267112437E-2</v>
      </c>
      <c r="O36" s="16">
        <v>0.14844510333082409</v>
      </c>
      <c r="P36" s="16">
        <v>5.8625480407121768E-2</v>
      </c>
      <c r="Q36" s="16">
        <v>9.8821415174217608E-2</v>
      </c>
      <c r="R36" s="16">
        <v>5.4809293101870084E-2</v>
      </c>
      <c r="S36" s="16">
        <v>4.2311527497037857E-2</v>
      </c>
    </row>
    <row r="37" spans="1:19" x14ac:dyDescent="0.2">
      <c r="A37" s="108">
        <v>33</v>
      </c>
      <c r="B37" s="3" t="s">
        <v>568</v>
      </c>
      <c r="C37" s="16">
        <v>0.61638605601579233</v>
      </c>
      <c r="D37" s="16">
        <v>0.64209999681872643</v>
      </c>
      <c r="E37" s="16">
        <v>0.64115816750133992</v>
      </c>
      <c r="F37" s="16">
        <v>0.73961625785262308</v>
      </c>
      <c r="G37" s="16">
        <v>0.51021461809835655</v>
      </c>
      <c r="H37" s="16">
        <v>0.61720654131355479</v>
      </c>
      <c r="I37" s="16">
        <v>0.57832852939584678</v>
      </c>
      <c r="J37" s="16">
        <v>0.4536489142531252</v>
      </c>
      <c r="K37" s="16">
        <v>0.4536489142531252</v>
      </c>
      <c r="L37" s="16">
        <v>0.8193055906917418</v>
      </c>
      <c r="M37" s="16">
        <v>0.47020718841843312</v>
      </c>
      <c r="N37" s="16">
        <v>0.71725069367566507</v>
      </c>
      <c r="O37" s="16">
        <v>0.47500455419531568</v>
      </c>
      <c r="P37" s="16">
        <v>0.65940936960808083</v>
      </c>
      <c r="Q37" s="16">
        <v>0.59112893425044044</v>
      </c>
      <c r="R37" s="16">
        <v>0.63038132457894447</v>
      </c>
      <c r="S37" s="16">
        <v>0.64546170458966234</v>
      </c>
    </row>
    <row r="38" spans="1:19" x14ac:dyDescent="0.2">
      <c r="A38" s="108">
        <v>34</v>
      </c>
      <c r="B38" s="3" t="s">
        <v>630</v>
      </c>
      <c r="C38" s="16">
        <v>0.31238462518485466</v>
      </c>
      <c r="D38" s="16">
        <v>0.33213925178730752</v>
      </c>
      <c r="E38" s="16">
        <v>0.34930419074913105</v>
      </c>
      <c r="F38" s="16">
        <v>0.3181039524935082</v>
      </c>
      <c r="G38" s="16">
        <v>0.32246919891816994</v>
      </c>
      <c r="H38" s="16">
        <v>0.32093169410367411</v>
      </c>
      <c r="I38" s="16">
        <v>0.29376128857509154</v>
      </c>
      <c r="J38" s="16">
        <v>0.44071329317870911</v>
      </c>
      <c r="K38" s="16">
        <v>0.33539284436403982</v>
      </c>
      <c r="L38" s="16">
        <v>0.32974539817102327</v>
      </c>
      <c r="M38" s="16">
        <v>0.27354372995546739</v>
      </c>
      <c r="N38" s="16">
        <v>0.31676419906282383</v>
      </c>
      <c r="O38" s="16">
        <v>0.30165730028974314</v>
      </c>
      <c r="P38" s="16">
        <v>0.28309583020680851</v>
      </c>
      <c r="Q38" s="16">
        <v>0.29780698463434629</v>
      </c>
      <c r="R38" s="16">
        <v>0.37052607714632751</v>
      </c>
      <c r="S38" s="16">
        <v>0.29135070420389714</v>
      </c>
    </row>
    <row r="39" spans="1:19" x14ac:dyDescent="0.2">
      <c r="A39" s="108">
        <v>35</v>
      </c>
      <c r="B39" s="3" t="s">
        <v>631</v>
      </c>
      <c r="C39" s="16">
        <v>0.52423911921159516</v>
      </c>
      <c r="D39" s="16">
        <v>0.54624371350933454</v>
      </c>
      <c r="E39" s="16">
        <v>0.63235131263955024</v>
      </c>
      <c r="F39" s="16">
        <v>0.51646484918666591</v>
      </c>
      <c r="G39" s="16">
        <v>0.573326132690548</v>
      </c>
      <c r="H39" s="16">
        <v>0.59837512619181743</v>
      </c>
      <c r="I39" s="16">
        <v>0.57837716887264867</v>
      </c>
      <c r="J39" s="16">
        <v>0.56891431870651155</v>
      </c>
      <c r="K39" s="16">
        <v>0.70200159937566786</v>
      </c>
      <c r="L39" s="16">
        <v>0.51786665791245734</v>
      </c>
      <c r="M39" s="16">
        <v>0.4951664285223446</v>
      </c>
      <c r="N39" s="16">
        <v>0.56993499235980605</v>
      </c>
      <c r="O39" s="16">
        <v>0.59055635443884602</v>
      </c>
      <c r="P39" s="16">
        <v>0.56953084720925484</v>
      </c>
      <c r="Q39" s="16">
        <v>0.58620231025534475</v>
      </c>
      <c r="R39" s="16">
        <v>0.56883450842438688</v>
      </c>
      <c r="S39" s="16">
        <v>0.46971322462968296</v>
      </c>
    </row>
    <row r="40" spans="1:19" x14ac:dyDescent="0.2">
      <c r="A40" s="108">
        <v>36</v>
      </c>
      <c r="B40" s="3" t="s">
        <v>348</v>
      </c>
      <c r="C40" s="16">
        <v>0.5656660127857539</v>
      </c>
      <c r="D40" s="16">
        <v>0.56340573643857395</v>
      </c>
      <c r="E40" s="16">
        <v>0.55181649372368147</v>
      </c>
      <c r="F40" s="16">
        <v>0.58088899007192329</v>
      </c>
      <c r="G40" s="16">
        <v>0.5543704254209697</v>
      </c>
      <c r="H40" s="16">
        <v>0.55361348949693689</v>
      </c>
      <c r="I40" s="16">
        <v>0.57040002921901622</v>
      </c>
      <c r="J40" s="16">
        <v>0.58108753620650833</v>
      </c>
      <c r="K40" s="16">
        <v>0.46403414626197481</v>
      </c>
      <c r="L40" s="16">
        <v>0.45638105693101805</v>
      </c>
      <c r="M40" s="16">
        <v>0.53557669892317528</v>
      </c>
      <c r="N40" s="16">
        <v>0.57486885320899339</v>
      </c>
      <c r="O40" s="16">
        <v>0.56010851205038792</v>
      </c>
      <c r="P40" s="16">
        <v>0.57516632986993854</v>
      </c>
      <c r="Q40" s="16">
        <v>0.52540315825284789</v>
      </c>
      <c r="R40" s="16">
        <v>0.55206311456104418</v>
      </c>
      <c r="S40" s="16">
        <v>0.49269568431153826</v>
      </c>
    </row>
    <row r="41" spans="1:19" x14ac:dyDescent="0.2">
      <c r="A41" s="108">
        <v>37</v>
      </c>
      <c r="B41" s="2" t="s">
        <v>582</v>
      </c>
      <c r="C41" s="16">
        <v>0.25225115481907801</v>
      </c>
      <c r="D41" s="16">
        <v>0.29842408510294832</v>
      </c>
      <c r="E41" s="16">
        <v>0.33655385449485797</v>
      </c>
      <c r="F41" s="16">
        <v>0.32299642156700997</v>
      </c>
      <c r="G41" s="16">
        <v>0.29825601269795771</v>
      </c>
      <c r="H41" s="16">
        <v>0.33131071285931868</v>
      </c>
      <c r="I41" s="16">
        <v>0.30597508166475912</v>
      </c>
      <c r="J41" s="16">
        <v>0.3084264549989526</v>
      </c>
      <c r="K41" s="16">
        <v>0.32588632813744467</v>
      </c>
      <c r="L41" s="16">
        <v>0.3208781254929447</v>
      </c>
      <c r="M41" s="16">
        <v>0.32673483715496748</v>
      </c>
      <c r="N41" s="16">
        <v>0.24686761803174945</v>
      </c>
      <c r="O41" s="16">
        <v>0.31086766309307556</v>
      </c>
      <c r="P41" s="16">
        <v>0.2557430498498246</v>
      </c>
      <c r="Q41" s="16">
        <v>0.31572936486648856</v>
      </c>
      <c r="R41" s="16">
        <v>0.24134798568707105</v>
      </c>
      <c r="S41" s="16">
        <v>0.21032138884515772</v>
      </c>
    </row>
    <row r="42" spans="1:19" x14ac:dyDescent="0.2">
      <c r="A42" s="108">
        <v>38</v>
      </c>
      <c r="B42" s="3" t="s">
        <v>349</v>
      </c>
      <c r="C42" s="16">
        <v>1.2096066994740844</v>
      </c>
      <c r="D42" s="16">
        <v>0.48085906537165618</v>
      </c>
      <c r="E42" s="16">
        <v>1.095316038049303</v>
      </c>
      <c r="F42" s="16">
        <v>7.9065094487643081E-2</v>
      </c>
      <c r="G42" s="16">
        <v>0.10074834320877186</v>
      </c>
      <c r="H42" s="16">
        <v>0.10200965697985909</v>
      </c>
      <c r="I42" s="16">
        <v>8.8475379403885612E-2</v>
      </c>
      <c r="J42" s="16">
        <v>0.11708897458740224</v>
      </c>
      <c r="K42" s="16">
        <v>0.10677651828713298</v>
      </c>
      <c r="L42" s="16">
        <v>0.15901023003456835</v>
      </c>
      <c r="M42" s="16">
        <v>0.12999807231656507</v>
      </c>
      <c r="N42" s="16">
        <v>0.10699940091593857</v>
      </c>
      <c r="O42" s="16">
        <v>0.14643992934237707</v>
      </c>
      <c r="P42" s="16">
        <v>9.7960208918809355E-2</v>
      </c>
      <c r="Q42" s="16">
        <v>0.14985166563388053</v>
      </c>
      <c r="R42" s="16">
        <v>0.23165754590242027</v>
      </c>
      <c r="S42" s="16">
        <v>1.1507152074748723</v>
      </c>
    </row>
    <row r="43" spans="1:19" x14ac:dyDescent="0.2">
      <c r="A43" s="108">
        <v>39</v>
      </c>
      <c r="B43" s="3" t="s">
        <v>350</v>
      </c>
      <c r="C43" s="16">
        <v>0.18997487002382585</v>
      </c>
      <c r="D43" s="16">
        <v>0.22323742128791971</v>
      </c>
      <c r="E43" s="16">
        <v>0.22481703124656144</v>
      </c>
      <c r="F43" s="16">
        <v>0.21125102717981012</v>
      </c>
      <c r="G43" s="16">
        <v>0.21976703094759276</v>
      </c>
      <c r="H43" s="16">
        <v>0.20718957101092697</v>
      </c>
      <c r="I43" s="16">
        <v>0.21929894067371677</v>
      </c>
      <c r="J43" s="16">
        <v>0.1840233379662076</v>
      </c>
      <c r="K43" s="16">
        <v>0.22268428029237661</v>
      </c>
      <c r="L43" s="16">
        <v>0.22708037939066247</v>
      </c>
      <c r="M43" s="16">
        <v>0.22556966900588851</v>
      </c>
      <c r="N43" s="16">
        <v>0.20099011532100541</v>
      </c>
      <c r="O43" s="16">
        <v>0.21741778924242325</v>
      </c>
      <c r="P43" s="16">
        <v>0.20822356235684072</v>
      </c>
      <c r="Q43" s="16">
        <v>0.23303411190751686</v>
      </c>
      <c r="R43" s="16">
        <v>0.21345296400685754</v>
      </c>
      <c r="S43" s="16">
        <v>0.19855990906614057</v>
      </c>
    </row>
    <row r="44" spans="1:19" x14ac:dyDescent="0.2">
      <c r="A44" s="108">
        <v>40</v>
      </c>
      <c r="B44" s="2" t="s">
        <v>583</v>
      </c>
      <c r="C44" s="16">
        <v>0.37753411555896904</v>
      </c>
      <c r="D44" s="16">
        <v>0.19472694166071944</v>
      </c>
      <c r="E44" s="16">
        <v>0.21907634678248147</v>
      </c>
      <c r="F44" s="16">
        <v>0.21534615663528758</v>
      </c>
      <c r="G44" s="16">
        <v>0.22785052423694843</v>
      </c>
      <c r="H44" s="16">
        <v>0.25301721290187734</v>
      </c>
      <c r="I44" s="16">
        <v>0.17293219439158489</v>
      </c>
      <c r="J44" s="16">
        <v>0.23714783292688552</v>
      </c>
      <c r="K44" s="16">
        <v>0.19110258034504882</v>
      </c>
      <c r="L44" s="16">
        <v>0.19159142266772974</v>
      </c>
      <c r="M44" s="16">
        <v>0.23734473917821985</v>
      </c>
      <c r="N44" s="16">
        <v>0.18821421649651957</v>
      </c>
      <c r="O44" s="16">
        <v>0.25190863565038979</v>
      </c>
      <c r="P44" s="16">
        <v>0.20553758541873599</v>
      </c>
      <c r="Q44" s="16">
        <v>0.24584288364794535</v>
      </c>
      <c r="R44" s="16">
        <v>0.19879557306086107</v>
      </c>
      <c r="S44" s="16">
        <v>0.24586870081447373</v>
      </c>
    </row>
    <row r="45" spans="1:19" x14ac:dyDescent="0.2">
      <c r="A45" s="108">
        <v>41</v>
      </c>
      <c r="B45" s="3" t="s">
        <v>351</v>
      </c>
      <c r="C45" s="16">
        <v>0.13056660142477367</v>
      </c>
      <c r="D45" s="16">
        <v>0.14806417210048375</v>
      </c>
      <c r="E45" s="16">
        <v>0.12616405058811866</v>
      </c>
      <c r="F45" s="16">
        <v>0.14050710136204847</v>
      </c>
      <c r="G45" s="16">
        <v>0.12327090274444076</v>
      </c>
      <c r="H45" s="16">
        <v>0.13533691464899919</v>
      </c>
      <c r="I45" s="16">
        <v>0.11508850036962331</v>
      </c>
      <c r="J45" s="16">
        <v>0.13466690041816473</v>
      </c>
      <c r="K45" s="16">
        <v>0.12085342576345916</v>
      </c>
      <c r="L45" s="16">
        <v>0.11157599099022454</v>
      </c>
      <c r="M45" s="16">
        <v>0.15447816500427269</v>
      </c>
      <c r="N45" s="16">
        <v>0.14039911654906884</v>
      </c>
      <c r="O45" s="16">
        <v>0.13536977484773402</v>
      </c>
      <c r="P45" s="16">
        <v>0.14191577267898156</v>
      </c>
      <c r="Q45" s="16">
        <v>0.14119779878157457</v>
      </c>
      <c r="R45" s="16">
        <v>9.7762370734160789E-2</v>
      </c>
      <c r="S45" s="16">
        <v>0.14352202187230373</v>
      </c>
    </row>
    <row r="46" spans="1:19" x14ac:dyDescent="0.2">
      <c r="A46" s="108">
        <v>42</v>
      </c>
      <c r="B46" s="2" t="s">
        <v>584</v>
      </c>
      <c r="C46" s="16">
        <v>0.23248625879134235</v>
      </c>
      <c r="D46" s="16">
        <v>0.21354383162636573</v>
      </c>
      <c r="E46" s="16">
        <v>0.21317375373080652</v>
      </c>
      <c r="F46" s="16">
        <v>0.21648186583009757</v>
      </c>
      <c r="G46" s="16">
        <v>0.22413442504955153</v>
      </c>
      <c r="H46" s="16">
        <v>0.20574002000160035</v>
      </c>
      <c r="I46" s="16">
        <v>0.21338683583167697</v>
      </c>
      <c r="J46" s="16">
        <v>0.21443577422866664</v>
      </c>
      <c r="K46" s="16">
        <v>0.23834386547398675</v>
      </c>
      <c r="L46" s="16">
        <v>0.21649855704427984</v>
      </c>
      <c r="M46" s="16">
        <v>0.21606873970689858</v>
      </c>
      <c r="N46" s="16">
        <v>0.21818474877772892</v>
      </c>
      <c r="O46" s="16">
        <v>0.22403532290553174</v>
      </c>
      <c r="P46" s="16">
        <v>0.2438400490840322</v>
      </c>
      <c r="Q46" s="16">
        <v>0.23440899183492531</v>
      </c>
      <c r="R46" s="16">
        <v>0.2243278350126138</v>
      </c>
      <c r="S46" s="16">
        <v>0.21719313425111314</v>
      </c>
    </row>
    <row r="47" spans="1:19" x14ac:dyDescent="0.2">
      <c r="A47" s="108">
        <v>43</v>
      </c>
      <c r="B47" s="2" t="s">
        <v>230</v>
      </c>
      <c r="C47" s="16">
        <v>0.21887251349060574</v>
      </c>
      <c r="D47" s="16">
        <v>0.28208245540233234</v>
      </c>
      <c r="E47" s="16">
        <v>0.25829552227070224</v>
      </c>
      <c r="F47" s="16">
        <v>0.27600248248343823</v>
      </c>
      <c r="G47" s="16">
        <v>0.28704904258170894</v>
      </c>
      <c r="H47" s="16">
        <v>0.34927556934026371</v>
      </c>
      <c r="I47" s="16">
        <v>0.25395391388842414</v>
      </c>
      <c r="J47" s="16">
        <v>0.25583087525576315</v>
      </c>
      <c r="K47" s="16">
        <v>0.2196892739200014</v>
      </c>
      <c r="L47" s="16">
        <v>0.20895242163353164</v>
      </c>
      <c r="M47" s="16">
        <v>0.16693024110773588</v>
      </c>
      <c r="N47" s="16">
        <v>0.31327878865405578</v>
      </c>
      <c r="O47" s="16">
        <v>0.2178277364030374</v>
      </c>
      <c r="P47" s="16">
        <v>0.27404018590803852</v>
      </c>
      <c r="Q47" s="16">
        <v>0.27392880264599351</v>
      </c>
      <c r="R47" s="16">
        <v>0.26178781375407711</v>
      </c>
      <c r="S47" s="16">
        <v>0.22927664804056253</v>
      </c>
    </row>
    <row r="48" spans="1:19" x14ac:dyDescent="0.2">
      <c r="A48" s="108">
        <v>44</v>
      </c>
      <c r="B48" s="3" t="s">
        <v>352</v>
      </c>
      <c r="C48" s="16">
        <v>0.10066724846137212</v>
      </c>
      <c r="D48" s="16">
        <v>9.8801455863873719E-2</v>
      </c>
      <c r="E48" s="16">
        <v>0.10863706082921111</v>
      </c>
      <c r="F48" s="16">
        <v>9.2800525510679535E-2</v>
      </c>
      <c r="G48" s="16">
        <v>8.948791195150245E-2</v>
      </c>
      <c r="H48" s="16">
        <v>0.11044145506134079</v>
      </c>
      <c r="I48" s="16">
        <v>0.1275869785019354</v>
      </c>
      <c r="J48" s="16">
        <v>8.7606126775349888E-2</v>
      </c>
      <c r="K48" s="16">
        <v>9.8795980130377728E-2</v>
      </c>
      <c r="L48" s="16">
        <v>0.10063543173744355</v>
      </c>
      <c r="M48" s="16">
        <v>0.10332018005889176</v>
      </c>
      <c r="N48" s="16">
        <v>7.7840847183320253E-2</v>
      </c>
      <c r="O48" s="16">
        <v>9.7804886584906173E-2</v>
      </c>
      <c r="P48" s="16">
        <v>0.17139217276855515</v>
      </c>
      <c r="Q48" s="16">
        <v>0.10252475748555917</v>
      </c>
      <c r="R48" s="16">
        <v>0.10903329389118509</v>
      </c>
      <c r="S48" s="16">
        <v>0.10465577382622211</v>
      </c>
    </row>
    <row r="49" spans="1:19" x14ac:dyDescent="0.2">
      <c r="A49" s="108">
        <v>45</v>
      </c>
      <c r="B49" s="2" t="s">
        <v>176</v>
      </c>
      <c r="C49" s="16">
        <v>0.44891025191087225</v>
      </c>
      <c r="D49" s="16">
        <v>0.36409147501405398</v>
      </c>
      <c r="E49" s="16">
        <v>0.51613963136308516</v>
      </c>
      <c r="F49" s="16">
        <v>0.35257313378257832</v>
      </c>
      <c r="G49" s="16">
        <v>0.39713233651613827</v>
      </c>
      <c r="H49" s="16">
        <v>0.65315633957104835</v>
      </c>
      <c r="I49" s="16">
        <v>0.34062882911674164</v>
      </c>
      <c r="J49" s="16">
        <v>0.33649229794016677</v>
      </c>
      <c r="K49" s="16">
        <v>0.33649229794016677</v>
      </c>
      <c r="L49" s="16">
        <v>0.37114879525394201</v>
      </c>
      <c r="M49" s="16">
        <v>0.45150549064913453</v>
      </c>
      <c r="N49" s="16">
        <v>0.31115030025705176</v>
      </c>
      <c r="O49" s="16">
        <v>0.37788122599471791</v>
      </c>
      <c r="P49" s="16">
        <v>0.65315633957104835</v>
      </c>
      <c r="Q49" s="16">
        <v>0.40590444448489676</v>
      </c>
      <c r="R49" s="16">
        <v>0.37118295614067237</v>
      </c>
      <c r="S49" s="16">
        <v>0.36863465718085991</v>
      </c>
    </row>
    <row r="50" spans="1:19" x14ac:dyDescent="0.2">
      <c r="A50" s="108">
        <v>46</v>
      </c>
      <c r="B50" s="2" t="s">
        <v>448</v>
      </c>
      <c r="C50" s="16">
        <v>0.1903816996265984</v>
      </c>
      <c r="D50" s="16">
        <v>0.17241381130863581</v>
      </c>
      <c r="E50" s="16">
        <v>0.15988506276194092</v>
      </c>
      <c r="F50" s="16">
        <v>0.15922651179532984</v>
      </c>
      <c r="G50" s="16">
        <v>0.15599015756812551</v>
      </c>
      <c r="H50" s="16">
        <v>0.16355517577994325</v>
      </c>
      <c r="I50" s="16">
        <v>0.16355517577994325</v>
      </c>
      <c r="J50" s="16">
        <v>0.16355517577994325</v>
      </c>
      <c r="K50" s="16">
        <v>0.16355517577994325</v>
      </c>
      <c r="L50" s="16">
        <v>0.15689497484772538</v>
      </c>
      <c r="M50" s="16">
        <v>0.16883787021769109</v>
      </c>
      <c r="N50" s="16">
        <v>0.15594768253053468</v>
      </c>
      <c r="O50" s="16">
        <v>0.16106831119597773</v>
      </c>
      <c r="P50" s="16">
        <v>0.16446936574064538</v>
      </c>
      <c r="Q50" s="16">
        <v>0.17570933022777221</v>
      </c>
      <c r="R50" s="16">
        <v>0.16970833875342287</v>
      </c>
      <c r="S50" s="16">
        <v>0.16775929663588188</v>
      </c>
    </row>
    <row r="51" spans="1:19" x14ac:dyDescent="0.2">
      <c r="A51" s="108">
        <v>47</v>
      </c>
      <c r="B51" s="3" t="s">
        <v>188</v>
      </c>
      <c r="C51" s="16">
        <v>0.31198883313589454</v>
      </c>
      <c r="D51" s="16">
        <v>0.3685428666853568</v>
      </c>
      <c r="E51" s="16">
        <v>0.3727750826930511</v>
      </c>
      <c r="F51" s="16">
        <v>0.55142667951874347</v>
      </c>
      <c r="G51" s="16">
        <v>0.47771384807103201</v>
      </c>
      <c r="H51" s="16">
        <v>0.27493569804084261</v>
      </c>
      <c r="I51" s="16">
        <v>0.38781615996179997</v>
      </c>
      <c r="J51" s="16">
        <v>0.43185765907344503</v>
      </c>
      <c r="K51" s="16">
        <v>0.34335692158095105</v>
      </c>
      <c r="L51" s="16">
        <v>0.31378736538646806</v>
      </c>
      <c r="M51" s="16">
        <v>0.31553143886358787</v>
      </c>
      <c r="N51" s="16">
        <v>0.29828834719595121</v>
      </c>
      <c r="O51" s="16">
        <v>0.39004721979213353</v>
      </c>
      <c r="P51" s="16">
        <v>0.38037862622681806</v>
      </c>
      <c r="Q51" s="16">
        <v>0.41678207483852397</v>
      </c>
      <c r="R51" s="16">
        <v>0.35162448645212552</v>
      </c>
      <c r="S51" s="16">
        <v>0.36214887945832891</v>
      </c>
    </row>
    <row r="52" spans="1:19" x14ac:dyDescent="0.2">
      <c r="A52" s="108">
        <v>48</v>
      </c>
      <c r="B52" s="3" t="s">
        <v>189</v>
      </c>
      <c r="C52" s="16">
        <v>0.24299531587805326</v>
      </c>
      <c r="D52" s="16">
        <v>0.18329125007621702</v>
      </c>
      <c r="E52" s="16">
        <v>0.18524810106330336</v>
      </c>
      <c r="F52" s="16">
        <v>0.20260905653594835</v>
      </c>
      <c r="G52" s="16">
        <v>0.1923038969171337</v>
      </c>
      <c r="H52" s="16">
        <v>0.20580172933865282</v>
      </c>
      <c r="I52" s="16">
        <v>0.17702237721068353</v>
      </c>
      <c r="J52" s="16">
        <v>0.21617007753569986</v>
      </c>
      <c r="K52" s="16">
        <v>0.20780681714289576</v>
      </c>
      <c r="L52" s="16">
        <v>0.20747256272942377</v>
      </c>
      <c r="M52" s="16">
        <v>0.19694743162400422</v>
      </c>
      <c r="N52" s="16">
        <v>0.18493483236525471</v>
      </c>
      <c r="O52" s="16">
        <v>0.21295212002506375</v>
      </c>
      <c r="P52" s="16">
        <v>0.18661474538412956</v>
      </c>
      <c r="Q52" s="16">
        <v>0.1799497869528392</v>
      </c>
      <c r="R52" s="16">
        <v>0.23477345711560693</v>
      </c>
      <c r="S52" s="16">
        <v>0.18675484419420443</v>
      </c>
    </row>
    <row r="53" spans="1:19" x14ac:dyDescent="0.2">
      <c r="A53" s="108">
        <v>49</v>
      </c>
      <c r="B53" s="2" t="s">
        <v>155</v>
      </c>
      <c r="C53" s="16">
        <v>0.20933799242379131</v>
      </c>
      <c r="D53" s="16">
        <v>0.34258196238380412</v>
      </c>
      <c r="E53" s="16">
        <v>0.42454933305000786</v>
      </c>
      <c r="F53" s="16">
        <v>0.29278866080047222</v>
      </c>
      <c r="G53" s="16">
        <v>0.23541646966540086</v>
      </c>
      <c r="H53" s="16">
        <v>0.24554854752766458</v>
      </c>
      <c r="I53" s="16">
        <v>0.25684059613262211</v>
      </c>
      <c r="J53" s="16">
        <v>0.12502231231406977</v>
      </c>
      <c r="K53" s="16">
        <v>0.40800059341832662</v>
      </c>
      <c r="L53" s="16">
        <v>0.28142827544907273</v>
      </c>
      <c r="M53" s="16">
        <v>0.24664297210821984</v>
      </c>
      <c r="N53" s="16">
        <v>0.22806023067561032</v>
      </c>
      <c r="O53" s="16">
        <v>0.26259712495692561</v>
      </c>
      <c r="P53" s="16">
        <v>0.22621616516447177</v>
      </c>
      <c r="Q53" s="16">
        <v>0.23271641132427362</v>
      </c>
      <c r="R53" s="16">
        <v>0.27407911158850251</v>
      </c>
      <c r="S53" s="16">
        <v>0.22275054810285169</v>
      </c>
    </row>
    <row r="54" spans="1:19" x14ac:dyDescent="0.2">
      <c r="A54" s="108">
        <v>50</v>
      </c>
      <c r="B54" s="2" t="s">
        <v>48</v>
      </c>
      <c r="C54" s="16">
        <v>0.14134782686820496</v>
      </c>
      <c r="D54" s="16">
        <v>0.11509930750595584</v>
      </c>
      <c r="E54" s="16">
        <v>0.1176333465473044</v>
      </c>
      <c r="F54" s="16">
        <v>0.16067446079228584</v>
      </c>
      <c r="G54" s="16">
        <v>0.14985959795472778</v>
      </c>
      <c r="H54" s="16">
        <v>0.19105630950074656</v>
      </c>
      <c r="I54" s="16">
        <v>0.11617212831797614</v>
      </c>
      <c r="J54" s="16">
        <v>0.16139943932886006</v>
      </c>
      <c r="K54" s="16">
        <v>0.16139943932886006</v>
      </c>
      <c r="L54" s="16">
        <v>0.1821332696281418</v>
      </c>
      <c r="M54" s="16">
        <v>0.16089664137760706</v>
      </c>
      <c r="N54" s="16">
        <v>0.15559090558792454</v>
      </c>
      <c r="O54" s="16">
        <v>0.16531395290785017</v>
      </c>
      <c r="P54" s="16">
        <v>0.24123908167115257</v>
      </c>
      <c r="Q54" s="16">
        <v>0.16619712926521754</v>
      </c>
      <c r="R54" s="16">
        <v>0.13996018131044713</v>
      </c>
      <c r="S54" s="16">
        <v>0.16711176542648171</v>
      </c>
    </row>
    <row r="55" spans="1:19" x14ac:dyDescent="0.2">
      <c r="A55" s="108">
        <v>51</v>
      </c>
      <c r="B55" s="3" t="s">
        <v>190</v>
      </c>
      <c r="C55" s="16">
        <v>0.22920903966632575</v>
      </c>
      <c r="D55" s="16">
        <v>0.17818285648691995</v>
      </c>
      <c r="E55" s="16">
        <v>0.22162979749447526</v>
      </c>
      <c r="F55" s="16">
        <v>0.21464277721297934</v>
      </c>
      <c r="G55" s="16">
        <v>0.27962823577388174</v>
      </c>
      <c r="H55" s="16">
        <v>0.18958524154766182</v>
      </c>
      <c r="I55" s="16">
        <v>0.23546484774101933</v>
      </c>
      <c r="J55" s="16">
        <v>0.25166131713127249</v>
      </c>
      <c r="K55" s="16">
        <v>0.26306607579701957</v>
      </c>
      <c r="L55" s="16">
        <v>0.22130426421492294</v>
      </c>
      <c r="M55" s="16">
        <v>0.17532696336754747</v>
      </c>
      <c r="N55" s="16">
        <v>0.16136210096071169</v>
      </c>
      <c r="O55" s="16">
        <v>0.23773612976948214</v>
      </c>
      <c r="P55" s="16">
        <v>0.25473520140014344</v>
      </c>
      <c r="Q55" s="16">
        <v>0.23201443187405169</v>
      </c>
      <c r="R55" s="16">
        <v>0.24611246783879959</v>
      </c>
      <c r="S55" s="16">
        <v>0.24235800041509303</v>
      </c>
    </row>
    <row r="56" spans="1:19" x14ac:dyDescent="0.2">
      <c r="A56" s="108">
        <v>52</v>
      </c>
      <c r="B56" s="3" t="s">
        <v>191</v>
      </c>
      <c r="C56" s="16">
        <v>0.31859056349107961</v>
      </c>
      <c r="D56" s="16">
        <v>0.30226071250829234</v>
      </c>
      <c r="E56" s="16">
        <v>0.26067883361102884</v>
      </c>
      <c r="F56" s="16">
        <v>0.27166365307401602</v>
      </c>
      <c r="G56" s="16">
        <v>0.27851071898229118</v>
      </c>
      <c r="H56" s="16">
        <v>0.27851071898229124</v>
      </c>
      <c r="I56" s="16">
        <v>0.26861076711600629</v>
      </c>
      <c r="J56" s="16">
        <v>0.27524092288934626</v>
      </c>
      <c r="K56" s="16">
        <v>0.28347717036194053</v>
      </c>
      <c r="L56" s="16">
        <v>0.21485631720242526</v>
      </c>
      <c r="M56" s="16">
        <v>0.22165726257954721</v>
      </c>
      <c r="N56" s="16">
        <v>0.23425124418849932</v>
      </c>
      <c r="O56" s="16">
        <v>0.20104702018893103</v>
      </c>
      <c r="P56" s="16">
        <v>0.27851071898229113</v>
      </c>
      <c r="Q56" s="16">
        <v>0.26834859678848116</v>
      </c>
      <c r="R56" s="16">
        <v>0.23268311313521167</v>
      </c>
      <c r="S56" s="16">
        <v>0.2782671750943439</v>
      </c>
    </row>
    <row r="57" spans="1:19" x14ac:dyDescent="0.2">
      <c r="A57" s="108">
        <v>53</v>
      </c>
      <c r="B57" s="2" t="s">
        <v>422</v>
      </c>
      <c r="C57" s="16">
        <v>0.33684725266057258</v>
      </c>
      <c r="D57" s="16">
        <v>0.16832847838687059</v>
      </c>
      <c r="E57" s="16">
        <v>0.24724970174238564</v>
      </c>
      <c r="F57" s="16">
        <v>0.24724970174238564</v>
      </c>
      <c r="G57" s="16">
        <v>0.25934946314405344</v>
      </c>
      <c r="H57" s="16">
        <v>0.20839804826208719</v>
      </c>
      <c r="I57" s="16">
        <v>0.22007528581691424</v>
      </c>
      <c r="J57" s="16">
        <v>0.24420626209672097</v>
      </c>
      <c r="K57" s="16">
        <v>0.2862979773144021</v>
      </c>
      <c r="L57" s="16">
        <v>0.24053645161220072</v>
      </c>
      <c r="M57" s="16">
        <v>0.37786630290017181</v>
      </c>
      <c r="N57" s="16">
        <v>0.24196044704749928</v>
      </c>
      <c r="O57" s="16">
        <v>0.35135576282119724</v>
      </c>
      <c r="P57" s="16">
        <v>0.22951681863663664</v>
      </c>
      <c r="Q57" s="16">
        <v>0.26018168209567161</v>
      </c>
      <c r="R57" s="16">
        <v>0.16293370529794718</v>
      </c>
      <c r="S57" s="16">
        <v>0.20462632056987601</v>
      </c>
    </row>
    <row r="58" spans="1:19" x14ac:dyDescent="0.2">
      <c r="A58" s="108">
        <v>54</v>
      </c>
      <c r="B58" s="3" t="s">
        <v>192</v>
      </c>
      <c r="C58" s="16">
        <v>0.31272519792515757</v>
      </c>
      <c r="D58" s="16">
        <v>0.18415571196947789</v>
      </c>
      <c r="E58" s="16">
        <v>0.24979592251881416</v>
      </c>
      <c r="F58" s="16">
        <v>0.22986510647947925</v>
      </c>
      <c r="G58" s="16">
        <v>0.22917739773539858</v>
      </c>
      <c r="H58" s="16">
        <v>0.23772664983092434</v>
      </c>
      <c r="I58" s="16">
        <v>0.23772664983092434</v>
      </c>
      <c r="J58" s="16">
        <v>0.73723875635596559</v>
      </c>
      <c r="K58" s="16">
        <v>0.22404692725353118</v>
      </c>
      <c r="L58" s="16">
        <v>0.32322549819347379</v>
      </c>
      <c r="M58" s="16">
        <v>0.35209879795553967</v>
      </c>
      <c r="N58" s="16">
        <v>0.21701864926916745</v>
      </c>
      <c r="O58" s="16">
        <v>0.26766069592629149</v>
      </c>
      <c r="P58" s="16">
        <v>0.27580624916243418</v>
      </c>
      <c r="Q58" s="16">
        <v>0.26635448238543935</v>
      </c>
      <c r="R58" s="16">
        <v>0.20439633359483436</v>
      </c>
      <c r="S58" s="16">
        <v>0.1899232874986464</v>
      </c>
    </row>
    <row r="59" spans="1:19" x14ac:dyDescent="0.2">
      <c r="A59" s="108">
        <v>55</v>
      </c>
      <c r="B59" s="2" t="s">
        <v>49</v>
      </c>
      <c r="C59" s="16">
        <v>0.17070024267135103</v>
      </c>
      <c r="D59" s="16">
        <v>0.19037010362810228</v>
      </c>
      <c r="E59" s="16">
        <v>0.20210719183512368</v>
      </c>
      <c r="F59" s="16">
        <v>0.19798133537496365</v>
      </c>
      <c r="G59" s="16">
        <v>0.20448295129415819</v>
      </c>
      <c r="H59" s="16">
        <v>0.2511944898059309</v>
      </c>
      <c r="I59" s="16">
        <v>0.21594457241085402</v>
      </c>
      <c r="J59" s="16">
        <v>0.20877445451863294</v>
      </c>
      <c r="K59" s="16">
        <v>0.26113052238414702</v>
      </c>
      <c r="L59" s="16">
        <v>0.22221296553010955</v>
      </c>
      <c r="M59" s="16">
        <v>0.20554088004112489</v>
      </c>
      <c r="N59" s="16">
        <v>0.21478262435760925</v>
      </c>
      <c r="O59" s="16">
        <v>0.24926256177342881</v>
      </c>
      <c r="P59" s="16">
        <v>0.40796529436215523</v>
      </c>
      <c r="Q59" s="16">
        <v>0.23423276472296753</v>
      </c>
      <c r="R59" s="16">
        <v>0.26009724103005838</v>
      </c>
      <c r="S59" s="16">
        <v>0.27450647850780596</v>
      </c>
    </row>
    <row r="60" spans="1:19" x14ac:dyDescent="0.2">
      <c r="A60" s="108">
        <v>56</v>
      </c>
      <c r="B60" s="2" t="s">
        <v>50</v>
      </c>
      <c r="C60" s="16">
        <v>2.2152255378224361E-2</v>
      </c>
      <c r="D60" s="16">
        <v>2.0008175742774886E-2</v>
      </c>
      <c r="E60" s="16">
        <v>1.7962919904085054E-2</v>
      </c>
      <c r="F60" s="16">
        <v>2.1174029111937557E-2</v>
      </c>
      <c r="G60" s="16">
        <v>5.3995596841980908E-2</v>
      </c>
      <c r="H60" s="16">
        <v>2.3190155337312862E-2</v>
      </c>
      <c r="I60" s="16">
        <v>2.4392038415970575E-2</v>
      </c>
      <c r="J60" s="16">
        <v>3.0978119081158089E-2</v>
      </c>
      <c r="K60" s="16">
        <v>2.0138397899944756E-2</v>
      </c>
      <c r="L60" s="16">
        <v>1.740204005450309E-2</v>
      </c>
      <c r="M60" s="16">
        <v>2.0439258801784058E-2</v>
      </c>
      <c r="N60" s="16">
        <v>2.6813965145931009E-2</v>
      </c>
      <c r="O60" s="16">
        <v>1.9145102444931773E-2</v>
      </c>
      <c r="P60" s="16">
        <v>2.7685906853734212E-2</v>
      </c>
      <c r="Q60" s="16">
        <v>4.0477594399803911E-2</v>
      </c>
      <c r="R60" s="16">
        <v>2.013883647775935E-2</v>
      </c>
      <c r="S60" s="16">
        <v>1.9348879704509204E-2</v>
      </c>
    </row>
    <row r="61" spans="1:19" x14ac:dyDescent="0.2">
      <c r="A61" s="108">
        <v>57</v>
      </c>
      <c r="B61" s="2" t="s">
        <v>51</v>
      </c>
      <c r="C61" s="16">
        <v>8.3254324706529201E-2</v>
      </c>
      <c r="D61" s="16">
        <v>8.1492507665872807E-2</v>
      </c>
      <c r="E61" s="16">
        <v>7.4485402174919821E-2</v>
      </c>
      <c r="F61" s="16">
        <v>7.7495243843100969E-2</v>
      </c>
      <c r="G61" s="16">
        <v>7.835172078879285E-2</v>
      </c>
      <c r="H61" s="16">
        <v>6.551261369653516E-2</v>
      </c>
      <c r="I61" s="16">
        <v>7.2534972274360066E-2</v>
      </c>
      <c r="J61" s="16">
        <v>6.3477992630700544E-2</v>
      </c>
      <c r="K61" s="16">
        <v>7.2110998743105809E-2</v>
      </c>
      <c r="L61" s="16">
        <v>6.2235562859971179E-2</v>
      </c>
      <c r="M61" s="16">
        <v>6.677554165965767E-2</v>
      </c>
      <c r="N61" s="16">
        <v>7.3485756360641294E-2</v>
      </c>
      <c r="O61" s="16">
        <v>6.5911794591801867E-2</v>
      </c>
      <c r="P61" s="16">
        <v>6.2766189524809085E-2</v>
      </c>
      <c r="Q61" s="16">
        <v>6.8259820504369295E-2</v>
      </c>
      <c r="R61" s="16">
        <v>6.8657385165993345E-2</v>
      </c>
      <c r="S61" s="16">
        <v>6.4449636885565958E-2</v>
      </c>
    </row>
    <row r="62" spans="1:19" x14ac:dyDescent="0.2">
      <c r="A62" s="108">
        <v>58</v>
      </c>
      <c r="B62" s="3" t="s">
        <v>193</v>
      </c>
      <c r="C62" s="16">
        <v>0.10128956841363543</v>
      </c>
      <c r="D62" s="16">
        <v>6.6950119586805801E-2</v>
      </c>
      <c r="E62" s="16">
        <v>6.0036900275168115E-2</v>
      </c>
      <c r="F62" s="16">
        <v>4.0551001660205935E-2</v>
      </c>
      <c r="G62" s="16">
        <v>5.7526516762464744E-2</v>
      </c>
      <c r="H62" s="16">
        <v>6.1032269020800237E-2</v>
      </c>
      <c r="I62" s="16">
        <v>5.569375238351984E-2</v>
      </c>
      <c r="J62" s="16">
        <v>6.1762009546661181E-2</v>
      </c>
      <c r="K62" s="16">
        <v>7.9623910165795828E-2</v>
      </c>
      <c r="L62" s="16">
        <v>0.12062315861183848</v>
      </c>
      <c r="M62" s="16">
        <v>0.13412970804043409</v>
      </c>
      <c r="N62" s="16">
        <v>6.5301701438140292E-2</v>
      </c>
      <c r="O62" s="16">
        <v>6.0974905920008649E-2</v>
      </c>
      <c r="P62" s="16">
        <v>6.1464634651825299E-2</v>
      </c>
      <c r="Q62" s="16">
        <v>6.4637620519954184E-2</v>
      </c>
      <c r="R62" s="16">
        <v>5.8255963979188329E-2</v>
      </c>
      <c r="S62" s="16">
        <v>5.4650610675736691E-2</v>
      </c>
    </row>
    <row r="63" spans="1:19" x14ac:dyDescent="0.2">
      <c r="A63" s="108">
        <v>59</v>
      </c>
      <c r="B63" s="2" t="s">
        <v>326</v>
      </c>
      <c r="C63" s="16">
        <v>0.58900720603683654</v>
      </c>
      <c r="D63" s="16">
        <v>0.65740326532240889</v>
      </c>
      <c r="E63" s="16">
        <v>0.36259511596302857</v>
      </c>
      <c r="F63" s="16">
        <v>0.49556708795219184</v>
      </c>
      <c r="G63" s="16">
        <v>0.44698443885603983</v>
      </c>
      <c r="H63" s="16">
        <v>0.43886298114368549</v>
      </c>
      <c r="I63" s="16">
        <v>0.37903048592097499</v>
      </c>
      <c r="J63" s="16">
        <v>0.47857433762515245</v>
      </c>
      <c r="K63" s="16">
        <v>0.33126266106855695</v>
      </c>
      <c r="L63" s="16">
        <v>0.39228711917608067</v>
      </c>
      <c r="M63" s="16">
        <v>0.41077892372606045</v>
      </c>
      <c r="N63" s="16">
        <v>0.4631105328470147</v>
      </c>
      <c r="O63" s="16">
        <v>0.52693808932197983</v>
      </c>
      <c r="P63" s="16">
        <v>0.38215157590421406</v>
      </c>
      <c r="Q63" s="16">
        <v>0.50240456264983413</v>
      </c>
      <c r="R63" s="16">
        <v>0.48121021508190504</v>
      </c>
      <c r="S63" s="16">
        <v>0.43638556914658594</v>
      </c>
    </row>
  </sheetData>
  <mergeCells count="3">
    <mergeCell ref="C3:G3"/>
    <mergeCell ref="H3:M3"/>
    <mergeCell ref="N3:S3"/>
  </mergeCells>
  <pageMargins left="0.75" right="0.75" top="1" bottom="1" header="0.5" footer="0.5"/>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TFP</vt:lpstr>
      <vt:lpstr>Starting Values</vt:lpstr>
      <vt:lpstr>Starting Values (old)</vt:lpstr>
      <vt:lpstr>Sources of Nutrients (old)</vt:lpstr>
      <vt:lpstr>MyPyramid</vt:lpstr>
      <vt:lpstr>calculations</vt:lpstr>
      <vt:lpstr>objective function</vt:lpstr>
      <vt:lpstr>cost</vt:lpstr>
      <vt:lpstr>cost (old)</vt:lpstr>
      <vt:lpstr>nutrient content</vt:lpstr>
      <vt:lpstr>cost constraint</vt:lpstr>
      <vt:lpstr>cost constraint (old)</vt:lpstr>
      <vt:lpstr>lower constraints</vt:lpstr>
      <vt:lpstr>upper constraints</vt:lpstr>
      <vt:lpstr>current consumption</vt:lpstr>
      <vt:lpstr>Model results and default value</vt:lpstr>
      <vt:lpstr>dictionary</vt:lpstr>
      <vt:lpstr>Summary</vt:lpstr>
      <vt:lpstr>TFP!Print_Area</vt:lpstr>
      <vt:lpstr>'lower constraints'!Print_Titles</vt:lpstr>
    </vt:vector>
  </TitlesOfParts>
  <Company>Tufts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Parke E Wilde</dc:creator>
  <cp:lastModifiedBy>Parke Wilde</cp:lastModifiedBy>
  <cp:lastPrinted>2008-02-14T04:32:42Z</cp:lastPrinted>
  <dcterms:created xsi:type="dcterms:W3CDTF">2007-10-15T19:48:01Z</dcterms:created>
  <dcterms:modified xsi:type="dcterms:W3CDTF">2014-10-15T19:16:10Z</dcterms:modified>
</cp:coreProperties>
</file>